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730"/>
  <workbookPr/>
  <mc:AlternateContent xmlns:mc="http://schemas.openxmlformats.org/markup-compatibility/2006">
    <mc:Choice Requires="x15">
      <x15ac:absPath xmlns:x15ac="http://schemas.microsoft.com/office/spreadsheetml/2010/11/ac" url="D:\Werkzaamheden map\DataVerse\Paper 1 - literature review\"/>
    </mc:Choice>
  </mc:AlternateContent>
  <xr:revisionPtr revIDLastSave="0" documentId="8_{EB720221-2BC6-4F8F-B8B4-7D49A735428B}" xr6:coauthVersionLast="45" xr6:coauthVersionMax="45" xr10:uidLastSave="{00000000-0000-0000-0000-000000000000}"/>
  <bookViews>
    <workbookView xWindow="-108" yWindow="-108" windowWidth="23256" windowHeight="12576" xr2:uid="{00000000-000D-0000-FFFF-FFFF00000000}"/>
  </bookViews>
  <sheets>
    <sheet name="Overview" sheetId="15" r:id="rId1"/>
    <sheet name="Categorized pool" sheetId="16" r:id="rId2"/>
    <sheet name="Raw data pool" sheetId="19" r:id="rId3"/>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I51" i="16" l="1"/>
  <c r="K55" i="16" l="1"/>
  <c r="O52" i="16"/>
  <c r="K60" i="16"/>
  <c r="O20" i="15" l="1"/>
  <c r="O21" i="15"/>
  <c r="O22" i="15"/>
  <c r="O23" i="15"/>
  <c r="O24" i="15"/>
  <c r="O25" i="15"/>
  <c r="O19" i="15"/>
  <c r="H20" i="15"/>
  <c r="H21" i="15"/>
  <c r="H22" i="15"/>
  <c r="H23" i="15"/>
  <c r="H24" i="15"/>
  <c r="H25" i="15"/>
  <c r="H26" i="15"/>
  <c r="H27" i="15"/>
  <c r="H28" i="15"/>
  <c r="H29" i="15"/>
  <c r="H30" i="15"/>
  <c r="H19" i="15"/>
  <c r="G67" i="16"/>
  <c r="G60" i="16"/>
  <c r="G59" i="16"/>
  <c r="G58" i="16"/>
  <c r="G57" i="16"/>
  <c r="G56" i="16"/>
  <c r="G55" i="16"/>
  <c r="G54" i="16"/>
  <c r="G53" i="16"/>
  <c r="G65" i="16" s="1"/>
  <c r="G52" i="16"/>
  <c r="G51" i="16" s="1"/>
  <c r="G64" i="16" s="1"/>
  <c r="G50" i="16"/>
  <c r="G49" i="16" s="1"/>
  <c r="G63" i="16" s="1"/>
  <c r="O82" i="16"/>
  <c r="O81" i="16"/>
  <c r="O74" i="16" s="1"/>
  <c r="O79" i="16"/>
  <c r="O71" i="16" s="1"/>
  <c r="O50" i="16"/>
  <c r="G66" i="16" l="1"/>
  <c r="G69" i="16"/>
  <c r="O66" i="16"/>
  <c r="C3" i="19"/>
  <c r="C4" i="19"/>
  <c r="C5" i="19"/>
  <c r="C6" i="19"/>
  <c r="C7" i="19"/>
  <c r="C8" i="19"/>
  <c r="C9" i="19"/>
  <c r="C10" i="19"/>
  <c r="C11" i="19"/>
  <c r="C12" i="19"/>
  <c r="C13" i="19"/>
  <c r="C14" i="19"/>
  <c r="C15" i="19"/>
  <c r="C16" i="19"/>
  <c r="C17" i="19"/>
  <c r="C18" i="19"/>
  <c r="C19" i="19"/>
  <c r="C20" i="19"/>
  <c r="C21" i="19"/>
  <c r="C22" i="19"/>
  <c r="C23" i="19"/>
  <c r="C24" i="19"/>
  <c r="C25" i="19"/>
  <c r="C26" i="19"/>
  <c r="C27" i="19"/>
  <c r="C28" i="19"/>
  <c r="C29" i="19"/>
  <c r="C30" i="19"/>
  <c r="C31" i="19"/>
  <c r="C32" i="19"/>
  <c r="C33" i="19"/>
  <c r="C34" i="19"/>
  <c r="C35" i="19"/>
  <c r="C36" i="19"/>
  <c r="C37" i="19"/>
  <c r="C38" i="19"/>
  <c r="C39" i="19"/>
  <c r="C40" i="19"/>
  <c r="C41" i="19"/>
  <c r="C42" i="19"/>
  <c r="C43" i="19"/>
  <c r="C45" i="19"/>
  <c r="C44" i="19"/>
  <c r="C4" i="16"/>
  <c r="C5" i="16"/>
  <c r="C6" i="16"/>
  <c r="C7" i="16"/>
  <c r="C8" i="16"/>
  <c r="C9" i="16"/>
  <c r="C10" i="16"/>
  <c r="C11" i="16"/>
  <c r="C12" i="16"/>
  <c r="C13" i="16"/>
  <c r="C14" i="16"/>
  <c r="C15" i="16"/>
  <c r="C16" i="16"/>
  <c r="C17" i="16"/>
  <c r="C18" i="16"/>
  <c r="C19" i="16"/>
  <c r="C20" i="16"/>
  <c r="C21" i="16"/>
  <c r="C22" i="16"/>
  <c r="C23" i="16"/>
  <c r="C24" i="16"/>
  <c r="C25" i="16"/>
  <c r="C26" i="16"/>
  <c r="C27" i="16"/>
  <c r="C28" i="16"/>
  <c r="C29" i="16"/>
  <c r="C30" i="16"/>
  <c r="C31" i="16"/>
  <c r="C32" i="16"/>
  <c r="C33" i="16"/>
  <c r="C34" i="16"/>
  <c r="C35" i="16"/>
  <c r="C36" i="16"/>
  <c r="C37" i="16"/>
  <c r="C38" i="16"/>
  <c r="C39" i="16"/>
  <c r="C40" i="16"/>
  <c r="C41" i="16"/>
  <c r="C42" i="16"/>
  <c r="C43" i="16"/>
  <c r="C44" i="16"/>
  <c r="C3" i="16"/>
  <c r="O84" i="16"/>
  <c r="O80" i="16" s="1"/>
  <c r="O72" i="16" s="1"/>
  <c r="O78" i="16"/>
  <c r="O70" i="16" s="1"/>
  <c r="O76" i="16"/>
  <c r="O75" i="16"/>
  <c r="O69" i="16"/>
  <c r="O60" i="16"/>
  <c r="O58" i="16"/>
  <c r="O56" i="16"/>
  <c r="O55" i="16"/>
  <c r="O54" i="16"/>
  <c r="O53" i="16"/>
  <c r="O51" i="16"/>
  <c r="O49" i="16"/>
  <c r="M51" i="16"/>
  <c r="M50" i="16"/>
  <c r="M49" i="16"/>
  <c r="K92" i="16"/>
  <c r="K90" i="16"/>
  <c r="K89" i="16"/>
  <c r="K88" i="16"/>
  <c r="K87" i="16"/>
  <c r="K86" i="16"/>
  <c r="K59" i="16"/>
  <c r="K58" i="16"/>
  <c r="K57" i="16"/>
  <c r="K56" i="16"/>
  <c r="K54" i="16"/>
  <c r="K53" i="16"/>
  <c r="K52" i="16"/>
  <c r="K51" i="16"/>
  <c r="K50" i="16"/>
  <c r="K49" i="16"/>
  <c r="I67" i="16"/>
  <c r="I53" i="16"/>
  <c r="I52" i="16"/>
  <c r="I50" i="16"/>
  <c r="I49" i="16"/>
  <c r="K78" i="16" l="1"/>
  <c r="I64" i="16"/>
  <c r="K75" i="16"/>
  <c r="O73" i="16"/>
  <c r="K76" i="16"/>
  <c r="K84" i="16"/>
  <c r="I63" i="16"/>
  <c r="I65" i="16"/>
  <c r="I60" i="16" s="1"/>
  <c r="O65" i="16"/>
  <c r="K83" i="16"/>
  <c r="I62" i="16"/>
  <c r="K82" i="16"/>
  <c r="K79" i="16"/>
  <c r="K81" i="16"/>
  <c r="K77" i="16"/>
  <c r="K80" i="16"/>
  <c r="O68" i="16"/>
  <c r="O67" i="16"/>
  <c r="O64" i="16"/>
  <c r="O45" i="16"/>
  <c r="M45" i="16"/>
  <c r="K45" i="16"/>
  <c r="I45" i="16"/>
  <c r="G45" i="16"/>
  <c r="D24" i="19"/>
  <c r="D38" i="16"/>
  <c r="D35" i="16"/>
  <c r="D24" i="16"/>
  <c r="D11" i="16"/>
  <c r="D34" i="16"/>
  <c r="D28" i="16"/>
  <c r="D27" i="16"/>
  <c r="D8" i="16"/>
  <c r="D3" i="16"/>
  <c r="D5" i="16"/>
  <c r="D6" i="16"/>
  <c r="D7" i="16"/>
  <c r="D9" i="16"/>
  <c r="D10" i="16"/>
  <c r="D12" i="16"/>
  <c r="D13" i="16"/>
  <c r="D14" i="16"/>
  <c r="D15" i="16"/>
  <c r="D16" i="16"/>
  <c r="D17" i="16"/>
  <c r="D18" i="16"/>
  <c r="D19" i="16"/>
  <c r="D20" i="16"/>
  <c r="D21" i="16"/>
  <c r="D22" i="16"/>
  <c r="D23" i="16"/>
  <c r="D25" i="16"/>
  <c r="D26" i="16"/>
  <c r="D29" i="16"/>
  <c r="D30" i="16"/>
  <c r="D31" i="16"/>
  <c r="D32" i="16"/>
  <c r="D33" i="16"/>
  <c r="D36" i="16"/>
  <c r="D37" i="16"/>
  <c r="D39" i="16"/>
  <c r="D40" i="16"/>
  <c r="D41" i="16"/>
  <c r="D42" i="16"/>
  <c r="D43" i="16"/>
  <c r="D44" i="16"/>
  <c r="D39" i="19"/>
  <c r="D36" i="19"/>
  <c r="D11" i="19"/>
  <c r="U46" i="19"/>
  <c r="T46" i="19"/>
  <c r="D35" i="19"/>
  <c r="D29" i="19"/>
  <c r="D28" i="19"/>
  <c r="D8" i="19"/>
  <c r="D3" i="19"/>
  <c r="D45" i="19"/>
  <c r="D44" i="19"/>
  <c r="D43" i="19"/>
  <c r="D42" i="19"/>
  <c r="D41" i="19"/>
  <c r="D40" i="19"/>
  <c r="D38" i="19"/>
  <c r="D37" i="19"/>
  <c r="D34" i="19"/>
  <c r="D33" i="19"/>
  <c r="D32" i="19"/>
  <c r="D31" i="19"/>
  <c r="D30" i="19"/>
  <c r="D27" i="19"/>
  <c r="D26" i="19"/>
  <c r="D25" i="19"/>
  <c r="D23" i="19"/>
  <c r="D22" i="19"/>
  <c r="D21" i="19"/>
  <c r="D20" i="19"/>
  <c r="D19" i="19"/>
  <c r="D18" i="19"/>
  <c r="D17" i="19"/>
  <c r="D16" i="19"/>
  <c r="D15" i="19"/>
  <c r="D14" i="19"/>
  <c r="D13" i="19"/>
  <c r="D12" i="19"/>
  <c r="D10" i="19"/>
  <c r="D9" i="19"/>
  <c r="D7" i="19"/>
  <c r="D6" i="19"/>
  <c r="D5" i="19"/>
  <c r="D4" i="19"/>
  <c r="K64" i="16" l="1"/>
  <c r="K69" i="16"/>
  <c r="I72" i="16"/>
  <c r="K66" i="16"/>
  <c r="I59" i="16"/>
  <c r="I71" i="16" s="1"/>
  <c r="K73" i="16"/>
  <c r="K67" i="16"/>
  <c r="K70" i="16"/>
  <c r="K71" i="16"/>
  <c r="K72" i="16"/>
  <c r="K68" i="16"/>
  <c r="K65" i="16"/>
  <c r="I58" i="16"/>
  <c r="I57" i="16"/>
  <c r="I70" i="16" s="1"/>
  <c r="C47" i="19"/>
  <c r="O85" i="16"/>
  <c r="C49" i="16"/>
  <c r="D4" i="16"/>
  <c r="C47" i="16" s="1"/>
  <c r="C51" i="19"/>
  <c r="C50" i="19"/>
  <c r="C52" i="19"/>
  <c r="I73" i="16" l="1"/>
  <c r="K94" i="16"/>
  <c r="C53" i="19"/>
  <c r="M52" i="16" l="1"/>
  <c r="O87" i="16"/>
  <c r="C51" i="16"/>
  <c r="C50" i="16"/>
  <c r="C53" i="16" l="1"/>
</calcChain>
</file>

<file path=xl/sharedStrings.xml><?xml version="1.0" encoding="utf-8"?>
<sst xmlns="http://schemas.openxmlformats.org/spreadsheetml/2006/main" count="964" uniqueCount="498">
  <si>
    <t>RQ1</t>
  </si>
  <si>
    <t>RQ2</t>
  </si>
  <si>
    <t>RQ3</t>
  </si>
  <si>
    <t>RQ4</t>
  </si>
  <si>
    <t>RQ5</t>
  </si>
  <si>
    <t>Game Name</t>
  </si>
  <si>
    <t>Include</t>
  </si>
  <si>
    <t>Yes/No</t>
  </si>
  <si>
    <t>Score</t>
  </si>
  <si>
    <t>X out of 8</t>
  </si>
  <si>
    <t>Paper</t>
  </si>
  <si>
    <t>Notes</t>
  </si>
  <si>
    <t>First author</t>
  </si>
  <si>
    <t>Year</t>
  </si>
  <si>
    <t>Antle</t>
  </si>
  <si>
    <t>Ayadi</t>
  </si>
  <si>
    <t>Barnaud</t>
  </si>
  <si>
    <t>Becu</t>
  </si>
  <si>
    <t>Bekebrede</t>
  </si>
  <si>
    <t>Cleland</t>
  </si>
  <si>
    <t>Dionnet</t>
  </si>
  <si>
    <t>Douven</t>
  </si>
  <si>
    <t>Ducrot</t>
  </si>
  <si>
    <t>Duffhues</t>
  </si>
  <si>
    <t>Haug</t>
  </si>
  <si>
    <t>Hertzog</t>
  </si>
  <si>
    <t>Hill</t>
  </si>
  <si>
    <t>Lawrence</t>
  </si>
  <si>
    <t>Mayer</t>
  </si>
  <si>
    <t>Page</t>
  </si>
  <si>
    <t>Rumore</t>
  </si>
  <si>
    <t>Salvini</t>
  </si>
  <si>
    <t>Speelman</t>
  </si>
  <si>
    <t>Stefanska</t>
  </si>
  <si>
    <t>Tanwattana</t>
  </si>
  <si>
    <t>Valkering</t>
  </si>
  <si>
    <t>Van der Wal</t>
  </si>
  <si>
    <t>Van Pelt</t>
  </si>
  <si>
    <t>SimPhy</t>
  </si>
  <si>
    <t>MAE SALAE RPG 1 &amp; 2</t>
  </si>
  <si>
    <t>Futura</t>
  </si>
  <si>
    <t>Linking a technical–economic model to a phytosanitary pressure indicator and two toxicity risk indicators helped the game players to gain a good understanding of phytosanitary pollution. Also it allows to better understand agricultural production systems that are viable both economically (gross margin) and socially (IRTH) and sustainable from an environmental perspective (IRTE).
Initial results from the SimPhy simulation game enabled the actors (technicians) themselves to learn about managing agricultural production systems in a dynamic and interactive fashion. The game also enabled us to gauge how difficult it would be to implement regulatory measures designed to reduce phytosanitary product use in a given region. With the simulation game, it was possible to learn about the farmer’s ability to adapt to new regulatory constraints, and the involved consequences for toxicity risks for human health and the environment.</t>
  </si>
  <si>
    <t>Meet criteria?</t>
  </si>
  <si>
    <t>No</t>
  </si>
  <si>
    <t>LottoSIM</t>
  </si>
  <si>
    <t>-</t>
  </si>
  <si>
    <t>Post (evaluation based on round-table discussion (~focus group))
The debriefing of the participatory simulation is organized as a round-table discussion covering the three current limits of coastal flooding management identified above. We first ask participants what they learned through the simulation of the diffusion process of coastal flooding in Oleron.</t>
  </si>
  <si>
    <t>Post</t>
  </si>
  <si>
    <t>Aqua Republica</t>
  </si>
  <si>
    <t>Overall, players exhibited “satisfying” rather than “optimizing” economic behavior, confirming a risk-averse attitude within the gaming context.
The debriefing sessions during the game proved to be particularly powerful for individual learning about fishing conservation. During the last round (Round 12), a strong debate about implementing a marine protected area (MPA) caused two participants, who came from a community notoriously resistant to marine parks, to change their views and concede that protected areas help replenish depleted fish stocks.
our experiment confirms that social learning derived from engaging with other participants in this kind of simulation/gaming environment can be more effective at challenging individual values than more traditional approaches relying on passive transfers of information.</t>
  </si>
  <si>
    <t>REEFGAME</t>
  </si>
  <si>
    <t>Reason</t>
  </si>
  <si>
    <t>TADLA</t>
  </si>
  <si>
    <t>Unspecified</t>
  </si>
  <si>
    <t>Shariva</t>
  </si>
  <si>
    <t>Pre- &amp; Post
1. Questionnaire (closed &amp; open questions, self-reflective, pre &amp; post game)
2. SWOT analysis performed in parallel groups on player performance (from their roles p.o.v.)</t>
  </si>
  <si>
    <t>Ter’Aguas</t>
  </si>
  <si>
    <t>Game is part of sequence of workshops, two case studies</t>
  </si>
  <si>
    <t>SPRINTCITY</t>
  </si>
  <si>
    <t>During &amp; Post
Observations (during)
Questionnaires &amp; interviews (post)</t>
  </si>
  <si>
    <t>?</t>
  </si>
  <si>
    <t>Game itself is hardly described. Evaluation however is very, very thorough</t>
  </si>
  <si>
    <t>FOWIS (Future of water in irrigated systems)</t>
  </si>
  <si>
    <t>Invitational Drought Tournament</t>
  </si>
  <si>
    <t>Qualitative</t>
  </si>
  <si>
    <t>Quantitative</t>
  </si>
  <si>
    <t>Quantitative &amp; qualitative</t>
  </si>
  <si>
    <t>Sustainable Delta Game (adaptation from Valkering et al., 2012)</t>
  </si>
  <si>
    <t>Marine Spatial Planning</t>
  </si>
  <si>
    <t>Pre &amp; during &amp; post
Questionnaires (pre --&gt; week before), (during --&gt; questions during the game), (post --&gt; after completing the game)
Data logging (during, analysis post)
Video recordings (during, analysed post)
In-game participant interviews (during)</t>
  </si>
  <si>
    <t>WeShareIt</t>
  </si>
  <si>
    <t>Pre &amp; during &amp; Post
pre-game, in-game and postgame questionnaires, together with a debriefing session and observations.
1. Pre-game questionnaire: This questionnaire collected data on participant’s background (nationality, age, gender and experience on serious gaming), their knowledge and current involvement with the water-food-energy nexus and experience and their impressions on connective leadership capacity.
2. In-game questionnaire: This questionnaire collected the numerical data that were filled in an Excel sheet, for every round. In addition, players indicated what their strategy for that particular round was and the countries they traded with.
3. Observations during the game: We observed the manner in which WeShareIt was played, the interactions and selforganisation of the players, the content and policy measures that were taken, the problems identified and the strategies undertaken to resolve these problems.
4. Post-game questionnaire: This was filled in before the debriefing session. The questions focused on the player’s opinion on; the game quality, the policy relevance of the game, the quality of support provided by the computer and facilitator, their assessment of the learning outcomes and the kind of capacity required to implement the water-energy-food nexus approach.
5. Debriefing Session: Each country was requested to express their impressions on the; experiences they faced during the game, lessons learnt and proposals to improve the game design and process.</t>
  </si>
  <si>
    <t>The findings we have presented suggest that serious gaming holds a promise in enhancing strategic foresight in disaster risk reduction. Our findings are important in supporting river basin organisations to address complex challenges through a new way of decision support.
Based on our assessments, we derived four contributions of the WeShareIt game as an instrument for enhancing strategic foresight on disaster risk reduction.
First, the game helped the players to get a big picture of the possible futures and the various pathways and strategies that could result into a disaster.
Second, the game helped the players to assess various plausible futures and not just one future.
Third, the serious game was designed to assess resilience of the various countries.
Lastly, the game was a test case for future policies on climate induced disasters and an audit of the current risk reduction practices.</t>
  </si>
  <si>
    <t>ReHab</t>
  </si>
  <si>
    <t>During &amp; Post
Data sheets (during, analysis post) where participants record their decisions, indicating for each round the targeted cells where they send their harvesters. A modified version of the game sheet is used with players acting as Rangers: they record the protected cells and receive the number of newborn Birds.
Observations (during): (i) taking pictures of interactions and passive audio recording; (ii) collecting verbatim later on organized in snippets of conversation relevant to various themes such as knowledge, rights, enforcement, collaboration or attitude (aggression, empathy or puzzlement) and (iii) organizing a team of external observers in charge of recording on dedicated sheets player’s attitudes, body language, power games and alliances, leadership, tipping points, knowledge production and sharing
Debriefing (post): Structured in 5 steps with the corresponding set of questions, inspired by Crookall (1995) and Lederman (1992)</t>
  </si>
  <si>
    <t>Observations &amp; debriefs</t>
  </si>
  <si>
    <t>1. Pre &amp; Post &amp; Post-post
Questionnaires (pre &amp; post): Before- and after-workshop questionnaires were collected from a total of 510 participants.
Debriefings (post): video recorded and coded for analysis
Interviews (post-post): A total of 140 workshop participants participated in follow-up interviews in the days after the workshop.
Participants completed pre- and postexercise questionnaires, participated in a post-exercise debriefing, and were interviewed in the days following the exercise. The game play and debriefings were video recorded and coded for analysis.
2. Pre &amp; Post &amp; Post-post
Questionnaires (pre &amp; post): Before- and after-workshop questionnaires were collected from a total of 510 participants.
Interviews (post-post): A total of 140 workshop participants participated in follow-up interviews in the days after the workshop.</t>
  </si>
  <si>
    <t>How results are derived are however poorly documented (no real results section and no further documentation on how data was analysed)</t>
  </si>
  <si>
    <t>1. IUP
2. NECAP</t>
  </si>
  <si>
    <t>Pre &amp; Post
Interviews (pre &amp; post): we conducted in-depth analyses of initial perspectives, role play behaviours and subsequent expressions of attained insights and engagement.42 interviews were conducted: each of the 21 farmers was interviewed before (pre-interview) and after (post-interview).
the RPG to assess the impact of the RPG on their decision-making evaluating the game’s impact on social learning by interviewing each farmer before and after the RPG</t>
  </si>
  <si>
    <t>Unnamed</t>
  </si>
  <si>
    <t>RESORTES</t>
  </si>
  <si>
    <t xml:space="preserve">Pre &amp; During &amp; Post &amp; Post-post
(i) pre- and post-game surveys (pre &amp; post): pre-game: (1) the social acquaintance of a player with all other players (relatedness), and (2) the player’s preferred field allocation on the board in the absence of other players. Post-game: who advised, commented and suggested the most (to all and to the player), and who was a role model during the game.
(ii) quantitative and qualitative communication analysis during and after the game through video-observations (during): We analyzed communication during the game qualitatively by filtering relevant content of the communication during the game. In addition, we measured the individual verbal input to the game by counting the number of comments made by every player.
(iii) post-game group discussion (post): During group discussions, we posed questions to assess the playability, functionality, and fun of the game.
(iv) follow-up individual interviews (post-post): During follow-up interviews, a few days after playing the game, individual players were posed similar questions.
Observations (during): We analyzed communication during the game qualitatively by filtering relevant content of the communication during the game. In addition, we measured the individual verbal input to the game by counting the number of comments made by every player.
Group discussions &amp; Interviews (post): Group discussions after the game and follow-up interviews were analyzed qualitatively through the observer impression method
</t>
  </si>
  <si>
    <t>Extensive description of analysis method, see section 2.3</t>
  </si>
  <si>
    <t>The Floodplain Management Game</t>
  </si>
  <si>
    <t>During &amp; Post
Observations (during) regarding relational and problem-solving activities. Early sessions rather unstructured, later sessions with extensive observation protocol with defined behavioural categories
Debriefing (post) consisting of two parts: (1) learning about different landscape processes and floodplain management regimes, and (2) learning about relational activities.
This approach can thus be qualified as semi-structured observation and as such it provides an excellent starting point for further, more rigid examination of behavioural effects.</t>
  </si>
  <si>
    <t>In the latter case, we observed in most game runs that participants remained focused almost entirely on the technical issues (problem solving). They did not organize well enough to process, understand and refine their mutual interactions and thus invested almost no time in regulating their relational activities.
In nearly all the games we examined, players failed to organize the process that would allow all actors to express their needs and objectives so that other players would recognize them and accommodate them in a common management policy.
Our outcomes suggest that the main experience that players gain is not one of taking part in a successful problem-solving process. This should not be surprising given the complexity of the problem itself and a very limited time devoted to playing. The main effect we did observe was related to the potential insight that the players get about the importance of the relational practices for the success of the problem-solving process – it was mainly the lack of an efficient interpersonal process that undermined coordination of problem-solving activities.
In most games, players sooner or later decided to exchange information, but unclear interests, responsibilities and individual strategies limited the possibility to use the aggregated information to significantly improve knowledge and understanding players had about the game world.</t>
  </si>
  <si>
    <t>Community Cooperation Game</t>
  </si>
  <si>
    <t>During
Observations (during): (semi-)structured observations using a checklist form and a voice recorder to record game conversations + coding of activities</t>
  </si>
  <si>
    <t>Waas game</t>
  </si>
  <si>
    <t>Sustainable Delta
(which is the same as discussed in the Waas game paper)</t>
  </si>
  <si>
    <t>Pre &amp; During &amp; post)
Data logging (pre &amp; during): See table 1 in paper
(1) initial perspective scoring table and updating this table during game play
(2) transcribed discussions to analyse why teams changed their perspectives
(3) determine the relation between the model feedback and the perspective change by comparing the presented model feedback with the perspective changes made during the game
Interviews (post):
(4) transcribed interviews with participants to analyse and extract their perception of the credibility of model feedback and how they evaluate the model used in the game</t>
  </si>
  <si>
    <t>Results show that social learning took place in 10 of the 12 game sessions.
Therefore, we argue that when model feedback coincides with reflection of participants on their team's perspectives, the possibilities for social learning increase.
With respect to how the simulation model played a role as a tool for social learning, we found that the role of the model is more than simply providing information upon which teams change their perspectives in a converging direction. We found that in the sessions where the discussion on perspectives was the main reasons for perspective change, the convergence was largest.
Even though the model feedback and the setup of the game provide ample incentive for teams to discuss their perspectives and formulate goals and strategies to discuss with the other team, the game setting appeared to affect social learning.</t>
  </si>
  <si>
    <t xml:space="preserve">Pre &amp; During &amp; Post &amp; Post-post + control group
Surveys (pre &amp; post): to collect information about: (a) the participants understanding of climate change scenarios, (b) their understanding of climate change uncertainty, (c) the role of uncertainties in climate change adaptation in water management, and (d) the participants backgrounds. Central to the survey were questions about their perception of the uncertainty of natural climate variability versus the uncertainty
of human induced change. Similar questions were included in a shorter version of the survey which was employed after the experiment took place in order to test our hypothesis that the game influences the participant’s perception on natural variability and human induced climate change uncertainties.
Discussions (during): To collect data about the influence of the game as communication instrument on climate uncertainties, the discussions among participants during the game were recorded and transcribed.
Debriefings (post): Collective discussion on what players learned from playing the game and how the game functioned in communicating uncertainties. Specifically, they were asked to reflect on their experiences on natural and human induced climate change. The debriefing session was digitally recorded. 
Follow-up (post-post): In September 2013, all water managers received an email asking them to reflect on the value of the simulation game in communicating climate change uncertainties.
Control group: experimental- and control group were given different assignments to measure the influence of the game. The experimental group started with historic and current trends of natural variability (familiar uncertainties), followed by different confrontations of natural variability and human induced climate change scnarios. The control group played the game with human induced climate change (unfamiliar uncertainties). </t>
  </si>
  <si>
    <t>The results show that although the differences between groups were not statistically significant, a change in their understanding of uncertainties was observed. The paper concludes that the learning effect of the game is inconclusive, but that the game does fosters a broader understanding of the concept climate change uncertainty.
Our findings suggest that simulation games can be an useful instrument in the communication of climate change uncertainties for several reasons.
• First, the results show that the game is helpful in explaining the uncertainties and the different types of uncertainty, by simplifying this knowledge.
• Second, the game reduces the psychological distance of climate change, as the participants experience the effects of adaptation measures that can be taken in a real life simulation. It connects to the causal beliefs and tacit knowledge of the participants.
• Third, the simulation game created a level playing field that allowed participants to experience different realities and demonstrated how changing the initial conditions influenced their decisions.
• Fourth, the game fosters a broader understanding of the concept of climate projections and the unpredictability of some processes.</t>
  </si>
  <si>
    <t>Data logging</t>
  </si>
  <si>
    <t>Climate Game</t>
  </si>
  <si>
    <t>Pre &amp; During &amp; Post
it was important to collect data about the progress of the game, the decisions and their effects, the discussions, and the insights:
1. Questionnaire (pre): participants' backgrounds (age, gender, experience of gaming, etc.), their involvement w i th and influence on the subject, and their impressions of the real policy processes.
2. Questionnaire (during): concerning the game play and the progress of the policy process in the game (x 2).
3. Observations (during): the way in which the game was played, how the players organized themselves, what content-based and policy measures were taken, how the players interacted with one another, the problems they identified, and what strategies they followed.
4. Group discussions (post): the experiences during the game, the lessons for the situation in reality, the relevant knowledge-based questions, the improvement and continued development of the game, etc.
5. Questionnaire (post): the players' impression of the quality of the game, the manner in which they played the game, the use of the computers, the insights and relevance to policy, etc.</t>
  </si>
  <si>
    <t>Qualitative
Although there might have also been a quantitative element in the questinnaires, not discussed though</t>
  </si>
  <si>
    <t>Additional notes</t>
  </si>
  <si>
    <t>Eisenack</t>
  </si>
  <si>
    <t>Martin</t>
  </si>
  <si>
    <t>Meijer</t>
  </si>
  <si>
    <t>Souchere</t>
  </si>
  <si>
    <t>Quantitative + qualitative
(although reporting focuses mostly on quantitative)</t>
  </si>
  <si>
    <t>NewDistrict</t>
  </si>
  <si>
    <t>Pre &amp; Post
Questionnaires (pre &amp; post) in order to assess what participants had learnt during the game.
The questions asked prior to the game concern their knowledge of biodiversity issues in peri-urbanization development projects and of ecosystem services. We also ask them what major actions should be taken when carrying out a development project. At the end of the session, we question them again on: ecosystem services, biodiversity issues, the role of birds and bees in the ecosystem, and the strategies they followed in relation to biodiversity. We also ask them what they have learnt the most during the session and what is the added value of the session for them.</t>
  </si>
  <si>
    <t>KEEP COOL</t>
  </si>
  <si>
    <t>The experience with the game indicates that it can be effectively used in seminars with students to obtain a holistic picture of the issue and to lay out a common language for deeper reflections on climate change. This contribution also identifies some pitfalls and essential instruments for its adequate use for teaching.</t>
  </si>
  <si>
    <t>Pre &amp; During &amp; Post
Questionnaires (pre &amp; post): qualitative email questionnaires distributed before and/or after the game; the questionnaire contains open questions about basic knowledge, problem framing, and interdisciplinary perspectives.
Observations (during): The evaluation in this section analyzes information obtained mainly by participant observation and facilitation experience.</t>
  </si>
  <si>
    <t>CauxOperation</t>
  </si>
  <si>
    <t>Category</t>
  </si>
  <si>
    <t>Pre</t>
  </si>
  <si>
    <t>During</t>
  </si>
  <si>
    <t>Post-post</t>
  </si>
  <si>
    <t>Control group</t>
  </si>
  <si>
    <t>Questionnaires</t>
  </si>
  <si>
    <t>Interviews</t>
  </si>
  <si>
    <t>Observations</t>
  </si>
  <si>
    <t>Data Logging</t>
  </si>
  <si>
    <t>Debriefings</t>
  </si>
  <si>
    <t>Quantitative &amp; Qualitative</t>
  </si>
  <si>
    <t>Carson</t>
  </si>
  <si>
    <t>Ferrero</t>
  </si>
  <si>
    <t>Jean</t>
  </si>
  <si>
    <t>Keijser</t>
  </si>
  <si>
    <t>Magnuszewski</t>
  </si>
  <si>
    <t>Meinzen-Dick</t>
  </si>
  <si>
    <t>Onencan</t>
  </si>
  <si>
    <t>Onencan-3</t>
  </si>
  <si>
    <t xml:space="preserve">Pre/post/post
To assess the effectiveness of the MHT, organizers surveyed the team members prior to participation in the tournament, immediately following the tournament event, and three months after the tournament event. </t>
  </si>
  <si>
    <t>The multi-hazard tournament (MHT)</t>
  </si>
  <si>
    <t>Participants are divided into groups to experiment with decision making in two consecutive game rounds: (i) the first round simulates a ‘fragmented’ institutional environment, where stakeholders are segregated and communication is limited (ii) the WSP ‘integrated’ institutional environment is evaluated in the second round, when communication between stakeholders is intensified, eventually leading to a different outcome of the decision-making process. The outcome of both rounds is evaluated in terms of water quality risk reduction, revealing how stakeholder engagement and cooperation in the WSP decision-making process could lead to improved water quality through more efficient investment planning.</t>
  </si>
  <si>
    <t>Quantitative &amp; qualitative
Quantitative following questionnaires, followed up with qualitative statements</t>
  </si>
  <si>
    <t>to [gain] a deeper understanding of how serious games can be used as a mechanism to enhance collaboration and knowledge co-creation and to better comprehend and address the myriad challenges to sustainable watershed governance.</t>
  </si>
  <si>
    <t>Questionnaires &amp; Interaction analysis &amp; social network analysis
Questionnaires (pre): to obtain basic data such as age/gender/profession etc. as well as to gauge participants interest in attending the game simulation event and their familiarity with technology.
Questionnaires (post): evaluate participants' experiences and perceived collaboration
Questionnaires (during): In addition to the pre- and post-game surveys, teams were also given a survey to complete throughout the game with questions relating to strategy allowing teams a chance to collectively reflect on previous actions.
Interaction analysis &amp; social network analysis (during): to analyze the effect that pre-existing relationships had on group dynamics. Based on audio/visual recordings</t>
  </si>
  <si>
    <t>"WSP game"</t>
  </si>
  <si>
    <t>No name given to the game</t>
  </si>
  <si>
    <t>Questionnaires &amp; Observations</t>
  </si>
  <si>
    <t>MSP Challenge</t>
  </si>
  <si>
    <t>to study the efficacy—the ability in reaching its designed objectives—of the MSP Challenge board game for stakeholder engagement in various planning contexts.
• How and to what extent does playing the MSP Challenge board game raise stakeholder’s understanding of MSP?
• How and to what extent do different types of stakeholders enjoy playing the MSP challenge board game?
• How and to what extent do background factors—age, gender, prior level of MSP involvement, sector affiliation and sustainability perception—affect the engagement and learning of stakeholders?
• What are the insights for real world MSP from stakeholders interactions in the game?</t>
  </si>
  <si>
    <t>Post &amp; During
A questionnaire, based on an evaluation framework [39], was developed to capture participants’ feedback. It uses validated questions and constructs for game evaluation to elicit information on demographics, sector of employment, pre-existing MSP involvement, game play experience and appreciation and understanding of Maritime Spatial Planning. The survey is based on self-reporting, with answer categories ranging from ‘strongly agree’ (5) to ‘strongly disagree (1)’. Respondents can also write down a short comment.
The case study in Scotland was systematically observed as part of a Master of Science thesis [41] and the results of the recorded observations illustrate and sustain the conclusions noted here.</t>
  </si>
  <si>
    <t>Questionnaires &amp; Observations
5 scale Likert scales
A questionnaire, based on an evaluation framework [39], was developed to capture participants’ feedback. It uses validated questions and constructs for game evaluation to elicit information on demographics, sector of employment, pre-existing MSP involvement, game play experience and appreciation and understanding of Maritime Spatial Planning. The survey is based on self-reporting, with answer categories ranging from ‘strongly agree’ (5) to ‘strongly disagree (1)’. Respondents can also write down a short comment.
The case study in Scotland was systematically observed as part of a Master of Science thesis [41] and the results of the recorded observations illustrate and sustain the conclusions noted here.</t>
  </si>
  <si>
    <t>Lords of the Valley</t>
  </si>
  <si>
    <t>to examine the impact of relational activities on the outputs in the game setting.</t>
  </si>
  <si>
    <t>The main outcome from this paper is the verification of the methods used by addressing the following question: are game mechanisms, protocols for facilitation and observation, the recording of decisions and results, and participant surveys adequate to reliably test hypotheses about behavioral decisions related to water governance? 
these results represent a pilot study of the research method that allows one to explore relational activities and social learning in a controlled environment.</t>
  </si>
  <si>
    <t>Pre/During/Post
Observation protocol + quantitative outcomes achieved by participants in the game
we have designed structured observation protocols and used the record of game results to measure the impact of relational activities on the game’s outputs. Relational activities such as leadership, sharing information, stereotyping, and ground rules were selected for this study from the longer list based on research and training experience
Questionnaires (pre/during/post): Additionally, over the course of the game, participants completed surveys (3 times during the game and before and after the game), intended to gather information on their subjective assessment of cooperation and competition levels</t>
  </si>
  <si>
    <t>Observation protocol &amp; Questionnaires
Observation protocol (during): There were two observation protocols applied: one for the rounds of the game and one for the community meetings. They both contained MC as well as open-ended questions regarding communication and interactions between teams, sharing information, leadership, conflicts, and overall group dynamics.
Questionnaires (pre/during/post): Additionally, over the course of the game, participants completed surveys (3 times during the game and before and after the game), intended to gather information on their subjective assessment of cooperation and competition levels</t>
  </si>
  <si>
    <t>The games were repeated in the same communities in 2013 and 2014, with modifications of the game, as explained below, and the NGOs have monitored the communities to note whether there have been changes in patterns of groundwater use in the communities where games were played.</t>
  </si>
  <si>
    <t>During/post/post + Control group
Game data (during): player choices, conversation notes
Questionnaire (post): participant characteristics, agricultural practices and trust-related questions
Community-level data (post-post): infrastructure, cropping patterns, trends in groundwater
"mental models” interviews (post-post): four groundwater irrigators per habitation (total 112 interviews), selected by the watershed association, who had not played the game, to see whether there had been any spill-over effects of the games on the understanding of groundwater dynamics and attitudes toward groundwater management in the communities where games had been played, by comparing the treatment sites with results from mental models interviews in the control sites where no games were played
The data from the game, which included a record of each players’ choices each round and notes on the conversations during the game, was supplemented with a short questionnaire asked to each participant covering individual and household characteristics, agricultural practices, trust-related questions and, in 2014, what the respondent was thinking about during the game. Community-level data collection recorded overall infrastructure, cropping patterns, and trends in groundwater.
Habitations were allocated between individual payment (Treatment A), community donation (Treatment B), and control (C) using a stratified systematic sample with a random start.</t>
  </si>
  <si>
    <t>Evaluate game effect on community level
1. Therefore, to test whether the games were affecting community understanding, in 2014 we attempted to study whether the games were associated with a change in mental models, by comparing treatment communities (with games) and control communities (where no games had been played).</t>
  </si>
  <si>
    <t>Nzoia WeShareIt</t>
  </si>
  <si>
    <t>To assess whether climate change may lead to increased situation awareness
to measure the influence of three independent variables (familiarity, gender and seven teams comprising of five persons each for seven-game sessions) on a dependent variable (situation awareness) with three subscales (demand, supply, and understanding).</t>
  </si>
  <si>
    <t>Pre/during/post
Questionnaires &amp; in-game measurements: In the Nzoia WeShareIt game, we used three SA measurement techniques: subjective rating measures (SART) pre-test and post-test questionnaires, performance measures and embedded task measures that were inbuilt in the game. The players did not realize that they were being assessed because the performance matrices were inbuilt in the digital game.</t>
  </si>
  <si>
    <t>Villamor</t>
  </si>
  <si>
    <t>Grazing game</t>
  </si>
  <si>
    <t>to reveal the processes that lead to overgrazing and desertification based on the players’ interactions with environmental conditions and their resulting decisions.
for exploring the coping strategies of local farmers
to better understand their behavior in response to climate variability under semiarid conditions in West Africa and to facilitate social learning.</t>
  </si>
  <si>
    <t>Identifying coping strategies and assessing the degree to which the grazing game
is an effective tool for facilitating social learning</t>
  </si>
  <si>
    <t>During/Post
This information was generated during the reflection sessions of each game, in which the players exchanged information with the facilitators/game master, i.e., researchers and modelers, and it was considered the most important part of the entire process. The facilitators and researchers investigated the reasons behind participants’ reactions more deeply and, at the same time, verified and validated the behaviors and perceptions of the players observed during the game.</t>
  </si>
  <si>
    <t>Qualitative
(For assessment of social learning at least)</t>
  </si>
  <si>
    <t>Raise awareness</t>
  </si>
  <si>
    <t>Zhou</t>
  </si>
  <si>
    <t>N/A</t>
  </si>
  <si>
    <t>During &amp; Post</t>
  </si>
  <si>
    <t>Pre &amp; Post</t>
  </si>
  <si>
    <t>Pre &amp; Post &amp; Post-post</t>
  </si>
  <si>
    <t>Pre &amp; During &amp; Post</t>
  </si>
  <si>
    <t>Pre &amp; During &amp; Post &amp; Post-post</t>
  </si>
  <si>
    <t xml:space="preserve">Pre &amp; During &amp; Post </t>
  </si>
  <si>
    <t>Post &amp; Post-post</t>
  </si>
  <si>
    <t>Data logging
Data logging (during): Direct measurements of  the impacts of diffuse phytosanitary pollution on human health and the environment using the DSS software behind the game.</t>
  </si>
  <si>
    <t>During the game
Date logging (during): Direct measurements of  the impacts of diffuse phytosanitary pollution on human health and the environment using the DSS software behind the game.
Also: whether the game met the three main elements of a simulation game (Mayer &amp; De Jong, 2004): 1) Learning, 2) Research, and 3) Intervention</t>
  </si>
  <si>
    <t>During (observations) &amp; post + post-post (interviews)
Observations &amp; interviews (latter: directly after and three weeks after gaming sessions, self-reflective questions)</t>
  </si>
  <si>
    <t>Debrief
Debrief (post): self-reflective questions regarding what players learned through the simulation, followed by questions regarding possible strategies and the need for more coordination between actors.</t>
  </si>
  <si>
    <t>Questionnaires
Questionnaires (pre &amp; post): self-reflective reporting on if players learned anything from the game, using a 4-point Likert scales, 0 (no learning) to 3 (intense learning)</t>
  </si>
  <si>
    <t>Questionnaires
Questionnaires (pre/post/post): self-assessment + pre-post knowledge questions</t>
  </si>
  <si>
    <t>Debriefing rounds
Debriefing rounds (during &amp; post): reflections on game stages, supported by recording in-game actions as well as recording the game itself. After the game, a final debrief session with reflective questions</t>
  </si>
  <si>
    <t>Questionnaires &amp; SWOT analysis
Questionnaires (pre &amp; post): evaluate the impact on creating awareness and upgrading knowledge
SWOT analysis (post): evaluate the usefulness of the policies and frameworks</t>
  </si>
  <si>
    <t>Questionnaires &amp; Observations &amp; Debriefs &amp; Interviews
Questionnaires (pre &amp; post): to assess initial perception of the issue, overall
impression, expectations, learning and level of satisfaction at the beginning and end of the session.
Observations (during): video recordings to report back on most interesting aspects with partial transcriptions (informal)
Debriefs (post): Collective assessment of the process with participants
Interviews (post-post): The on-the-spot assessment was completed with a series of semi-directed interviews, conducted external evaluator (a sociologist), 8 months after the end of
the intervention.</t>
  </si>
  <si>
    <t>Questionnaires &amp; data logging &amp; observations &amp; interviews
Questionnaires (post): quality of the game and learning experiences
Observations (during): informal, focus on competition or collaboration and such
Data logging (during): computer data used for further analysis
Interviews (post): regarding what was learned through SPRINTCITY</t>
  </si>
  <si>
    <t>Questionnaires &amp; observations
Questionnaires (pre &amp; post): open questions about basic knowledge, problem framing, and interdisciplinary perspectives (emailed).
Observations (during): informal observations</t>
  </si>
  <si>
    <t>Group discussion &amp; Questionnaire
Group discussion (post): Participants in both IHE student groups were asked to discuss their experience orally after playing the game.
Questionnaire (post): The latter was requested to fill in a simple evaluation form that included one question related to each part of a broader training workshop of which the game was part.</t>
  </si>
  <si>
    <t>Pre, during, post &amp; post-post
Thus, we have taken measurements prior to the policy exercise as well as immediately afterwards, complementing those with process observations during the workshop. 
Surveys (pre &amp; post)
Concept maps (pre &amp; post)
Observations (during)
Debrief (post)
Interviews (telephone) 2 to 4 weeks after the workshop (post-post)</t>
  </si>
  <si>
    <t>Questionnaires &amp; Concept maps &amp; Observations &amp; Debriefs &amp; Interviews
Questionnaires (pre &amp; post): eliciting participants' views on facts and normative statements (to measure changes in viewpoints, norms and values)
Concept maps (pre &amp; post): regarding burden sharing in European climate policy
Observations (during): focussing on style of interactions and activity patterns
Debrief (post): to share their experiences and to collectively discuss what they had learned from the exercise.
Interviews (post-post): reflect on their experience and on the strengths and limitations of the policy exercise, self-reported learning, measure changes in viewpoints, norms and values</t>
  </si>
  <si>
    <t>Questionnaires &amp; data logging &amp; observations &amp; interviews
Questionnaires (pre &amp; during &amp; post): multiple questionnaires, not defined what each was for
Data logging (during): logging decision taken, computer data
Observations (during): Video recordings
Interviews (during): in-game participant interviews</t>
  </si>
  <si>
    <t>During &amp; Post
Depending on phase, different evaluation
Phase 1: direct feedback (expert/face validation)
Phase 2: data logging (during) &amp; questionnaires (post) &amp; observations (during) &amp; debriefs (post, recorded)
Phase 3: data logging (during) &amp; questionnaires (post) &amp; observations (during) &amp; extended debriefs (post, recorded)</t>
  </si>
  <si>
    <t>Questionnaires &amp; data logging &amp; observations &amp; debrief
Questionnaires (during &amp; post): 7-point Likert scale, not further specified
Data logging (during): in-game computer system logging decisions
Observations (during): not specified
Debriefs (post): recording discussions among the players about the results and performance of the four scenarios</t>
  </si>
  <si>
    <t xml:space="preserve">Questionnaires &amp; debriefs &amp; observations &amp; video
Questionnaires (pre &amp; post): post questionnaires designed according to Beatty theoretical framework
Debriefs (post): 
Observations (during): direct and video
Video (): </t>
  </si>
  <si>
    <t>Questionnaires &amp; debriefs &amp; interviews
1.
Questionnaires (pre &amp; post): Before- and after-workshop questionnaires were collected from a total of 510 participants.
Debriefings (post): video recorded and coded for analysis
Interviews (post-post): A total of 140 workshop participants participated in follow-up interviews in the days after the workshop.
Participants completed pre- and postexercise questionnaires, participated in a post-exercise debriefing, and were interviewed in the days following the exercise. The game play and debriefings were video recorded and coded for analysis.
2.
Questionnaires (pre &amp; post): Before- and after-workshop questionnaires were collected from a total of 510 participants.
Interviews (post-post): A total of 140 workshop participants participated in follow-up interviews in the days after the workshop.</t>
  </si>
  <si>
    <t>Observations &amp; debriefings
Debrief (post): focuses on eliciting a common understanding of the hidden rules, as well as the influence of individual or collective strategies on scenario outputs
Observations (during): During a session, social interactions are recorded according to three protocols: (1) taking pictures of interactions and passive audio recordings, (2) collecting snippets of conversations (later organized according to themes), (3) organizing a team of external observers in charge of recording player's attitudes, body language, power games and alliances, leadership, tipping points, knowledge production and sharing
The debriefing session is structured in 5 steps with the corresponding set of questions, inspired by Crookall (1995) and Lederman (1992):</t>
  </si>
  <si>
    <t>Interviews
Interviews (pre &amp; post): Questions focused on land use and agriculture: farmer adaptation needs, crops produced, knowledge of the agroforestry coffee and intensive silvopastoral systems, perceptions of current and future CC impacts, opinions on farmer cooperatives (benefits, feasibility, trust, past experiences) and willingness to create or join a cooperative. The same questions were asked before and after game play, to evaluate the RPG’s effect in stimulating social learning.</t>
  </si>
  <si>
    <t>Questionnaires &amp; observations &amp; debrief &amp; interview
Questionnaires (pre &amp; post): pre-game: (1) the social acquaintance of a player with all other players (relatedness), and (2) the player’s preferred field allocation on the board in the absence of other players. Post-game: who advised, commented and suggested the most (to all and to the player), and who was a role model during the game.
Observations (during): quantitative and qualitative communication analysis during and after the game through video-observations (during): We analyzed communication during the game qualitatively by filtering relevant content of the communication during the game. In addition, we measured the individual verbal input to the game by counting the number of comments made by every player.
Debrief (post): During group discussions, we posed questions to assess the playability, functionality, and fun of the game.
Interviews (post-post): During follow-up interviews, a few days after playing the game, individual players were posed similar questions.</t>
  </si>
  <si>
    <t>Observations &amp; debriefs
Observations (during): unstructured at first, detailed protocol later: relational and problem-solving activities observed in participant behaviours in preliminary tests of the game.
Debriefings (post): group reflection (semi-structured)</t>
  </si>
  <si>
    <t>Observations
Observations (during): The results of the CCG workshop from the three case studies were observed by the game’s facilitator using a checklist form for monitoring and a voice recorder to record a conversation/opinion/discussion of all participants.</t>
  </si>
  <si>
    <t xml:space="preserve">Pre &amp; During &amp; Post
</t>
  </si>
  <si>
    <t>Questionnaires &amp; observations &amp; debriefs
Questionnaire (pre): participants' backgrounds (age, gender, experience of gaming, etc.), their involvement w i th and influence on the subject, and their impressions of the real policy processes.
Questionnaire (during): concerning the game play and the progress of the policy process in the game (x 2).
Observations (during): the way in which the game was played, how the players organized themselves, what content-based and policy measures were taken, how the players interacted with one another, the problems they identified, and what strategies they followed.
Debrief (post): the experiences during the game, the lessons for the situation in reality, the relevant knowledge-based questions, the improvement and continued development of the game, etc.
Questionnaire (post): the players' impression of the quality of the game, the manner in which they played the game, the use of the computers, the insights and relevance to policy, etc.</t>
  </si>
  <si>
    <t>Questionnaires &amp; Interviews</t>
  </si>
  <si>
    <t>Questionnaires &amp; SWOT analysis</t>
  </si>
  <si>
    <t>Questionnaires &amp; observations</t>
  </si>
  <si>
    <t>Debriefs &amp; Interviews</t>
  </si>
  <si>
    <t>Questionnaires &amp; data logging</t>
  </si>
  <si>
    <t>Questionnaires &amp; debriefs &amp; interviews</t>
  </si>
  <si>
    <t>Questionnaires &amp; observations &amp; debrief &amp; interview</t>
  </si>
  <si>
    <t>Questionnaires &amp; observations &amp; debriefs &amp; interviews &amp; control group</t>
  </si>
  <si>
    <t>Questionnaires &amp; observations &amp; debriefs</t>
  </si>
  <si>
    <t>Observations &amp; debrief
Observations (during): facilitator / researcher observations regarding the reasons behind participants’ reactions more deeply and, at the same time, verified and validated the behaviors and perceptions of the players observed during the game.
Debrief (post): The players exchanging information with the facilitators/game master</t>
  </si>
  <si>
    <t>Observations &amp; debrief</t>
  </si>
  <si>
    <t>Observations &amp; debriefings</t>
  </si>
  <si>
    <t>Debriefs</t>
  </si>
  <si>
    <t>Interaction Analysis</t>
  </si>
  <si>
    <t>Social Network Analysis</t>
  </si>
  <si>
    <t>SWOT Analysis</t>
  </si>
  <si>
    <t>What methods are used in the evaluation of collaborative serious games?</t>
  </si>
  <si>
    <t>Do evaluations of collaborative serious games use a quantitative, qualitative or a combination between quantitative and qualitative approach?</t>
  </si>
  <si>
    <t>Name</t>
  </si>
  <si>
    <t>Questionnaires + Observations</t>
  </si>
  <si>
    <t>Questionnaires + Data Logging</t>
  </si>
  <si>
    <t>Questionnaires + Debriefs</t>
  </si>
  <si>
    <t>Questionnaires + Interviews</t>
  </si>
  <si>
    <t>Observations + Debriefs</t>
  </si>
  <si>
    <t>Observations + Interviews</t>
  </si>
  <si>
    <t>Observations + Data logging</t>
  </si>
  <si>
    <t>Debriefs + Interviews</t>
  </si>
  <si>
    <t>Debriefs + Data logging</t>
  </si>
  <si>
    <t>Interviews + Data logging</t>
  </si>
  <si>
    <t>Questionnaires + Observations + Data logging</t>
  </si>
  <si>
    <t>Questionnaires + Observations + Debrief</t>
  </si>
  <si>
    <t>Questionnaires + Data logging + Debrief</t>
  </si>
  <si>
    <t>Questionnaires + Observations + Interviews</t>
  </si>
  <si>
    <t>Questionnaires + Data logging + Interviews</t>
  </si>
  <si>
    <t>Questionnaires + Debrief + Interviews</t>
  </si>
  <si>
    <t>Questionnaires + Observations + Data logging + Debrief</t>
  </si>
  <si>
    <t>Questionnaires + Observations + Data logging + Interviews</t>
  </si>
  <si>
    <t>Questionnaires + Observations + Debrief + Interviews</t>
  </si>
  <si>
    <t>Questionnaires + Observations + Data logging + Debrief + Interviews</t>
  </si>
  <si>
    <t>Observations + Data logging + Debrief + Interviews</t>
  </si>
  <si>
    <t>Observations + Data logging + Debrief</t>
  </si>
  <si>
    <t>Observations + Data logging + Interviews</t>
  </si>
  <si>
    <t>Observations + Debrief + Interviews</t>
  </si>
  <si>
    <t>Questionnaires + Data logging + Debrief + Interviews</t>
  </si>
  <si>
    <t>Data logging + Debrief + Interviews</t>
  </si>
  <si>
    <t>Concept maps</t>
  </si>
  <si>
    <t>Pre &amp; During</t>
  </si>
  <si>
    <t>During &amp; Post &amp; Post-post</t>
  </si>
  <si>
    <t>Pre &amp; During &amp; Post-post</t>
  </si>
  <si>
    <t>Combinations</t>
  </si>
  <si>
    <t>Pre &amp; During &amp; Post
Collaborative experiences have been assessed during and after each serious game simulation event through surveys that evaluate participants' experiences and perceived collaboration (Frey et al., 2006), and by performing an interaction analysis (Jordan and Henderson, 1995) using audio/visual recordings of the events and participant interactions. Subsequently, a social network analysis was conducted to analyze the effect that pre-existing relationships had on group dynamics.
An interaction and social network analysis of the audiovisual recordings of each game simulation event indicates that interactions between participants increase in both quantity and quality as the game progresses</t>
  </si>
  <si>
    <t>Springerlink</t>
  </si>
  <si>
    <t>Scopus</t>
  </si>
  <si>
    <t>ScienceDirect</t>
  </si>
  <si>
    <t>Snowballing</t>
  </si>
  <si>
    <t>Web of Science</t>
  </si>
  <si>
    <t>IEEE</t>
  </si>
  <si>
    <t>ACM</t>
  </si>
  <si>
    <t>Real world data</t>
  </si>
  <si>
    <t>Questionnaires &amp; debrief</t>
  </si>
  <si>
    <t>Questionnaires &amp; Observations &amp; Debriefs &amp; Interviews &amp; Concept maps</t>
  </si>
  <si>
    <t>Questionnaires &amp; observations &amp; data logging &amp; interviews</t>
  </si>
  <si>
    <t>Questionnaires &amp; observations &amp; debriefs &amp; interviews</t>
  </si>
  <si>
    <t>Questionnaires &amp; debriefs</t>
  </si>
  <si>
    <t>Questionnaires &amp; interviews</t>
  </si>
  <si>
    <t>Questionnaires &amp; interaction analysis &amp; social network analysis</t>
  </si>
  <si>
    <t>Questionnaires &amp; observations &amp; debrief</t>
  </si>
  <si>
    <t>v</t>
  </si>
  <si>
    <t>Total:</t>
  </si>
  <si>
    <t>Check:</t>
  </si>
  <si>
    <t>participants become aware of the crucial need for stakeholder collaboration to achieve safe water supply.
As a result, the game has the potential to provide both short-term impacts (e.g., achieving the learning objectives during the training) and medium-term impacts (real-life WSP implementation). Beyond this, the set of skills and the type of knowledge that the game seeks to develop among water professionals aspires to longer-term, broader impact on transformative change: skills and knowledge that help support cross-sectoral integration and deal with complexity in decision-making are increasingly needed in order to address sustainability challenges.</t>
  </si>
  <si>
    <r>
      <t xml:space="preserve">The results of this study reveal how interactions and collaborations between participants and their teams increase over the course of the game simulation events. This increase in collaborative interactions takes place for all teams, although it appears that the teams with strong previous connections and relationships between all team members before the start of the game events (i.e. the McGill event teams) develop a significantly higher amount of interactions between participants over the course of the game simulation event.
As time progresses, players quickly become more comfortable with each other while interactions become less formal and more open and personal.
</t>
    </r>
    <r>
      <rPr>
        <b/>
        <sz val="9"/>
        <color theme="1"/>
        <rFont val="Calibri"/>
        <family val="2"/>
        <scheme val="minor"/>
      </rPr>
      <t>Overall, the results provide evidence that serious game simulations can effectively be used as boundary objects to strengthen existing relationships as well as to facilitate new connections and a shared understanding between stakeholders</t>
    </r>
    <r>
      <rPr>
        <sz val="9"/>
        <color theme="1"/>
        <rFont val="Calibri"/>
        <family val="2"/>
        <scheme val="minor"/>
      </rPr>
      <t>. The question remains, however, what the impact is of game simulations, such as the one used for this study, on enhancing knowledge co-creation, in particular on facilitating a knowledge conversion cycle.</t>
    </r>
  </si>
  <si>
    <t>By considering all limitations, we find the initial results obtained from this pilot study provide a solid verification of the proposed research method used to study the effects of relational activities and social learning for improving water governance.</t>
  </si>
  <si>
    <t>Together with the community debriefing sessions, the games contribute to social learning. We also found that the use of games in the community a year before had measurable impact on the understanding of groundwater related decision making within the community, not just the participants of the games.
Ultimately, the test of whether these games and debriefing contribute to improving the sustainability of groundwater will be whether new rules and processes are adopted in the treatment communities, as illustrated the theory of change in Fig. 1. The indications to date are that the games are having an effect. 
Half (6 out of 12) of the habitations where games were played adopted rules for governing groundwater, compared to one third (26 out of 78) of the total set where games were not played. Similarly, 67% (8 out of 12) of the habitations that played games adopted water registers, as opposed to 36% (28 out of 78) where games were not played. The substantially higher adoption of rules and water registers in the sites with games are statistically significant (P &lt; 0.001), supporting the notion that games have an effect on community-level rules.</t>
  </si>
  <si>
    <t>The research results can be summarized in three main findings:
1. There was a significant increase in player SA, between the pre-test and post-test SART results. However, the movement from commitments to actions is a complex socio-technical system that requires further analysis through the use of triangulation.
2. There are two key elements to successful policy implementation: a story and a person with the connective capacity to effectively narrate the story and span the boundaries between two or more geographically dispersed teams.
3. Increased SA only leads to action if the policymakers are familiar with climate change actions and there is a combined interaction effect between gender, team (mainly cross-team) and familiarity.</t>
  </si>
  <si>
    <t xml:space="preserve">What did local stakeholders learn and how? The first ComMod cycle triggered exchanges mainly between researchers and participants, whereas in the second cycle, the participants emphasized in the interviews that the experiment allowed them to better understand one another’s situations and points of views, by providing a kind of “democratic” (in the words of one participant) platform for communication that does not exist in their current social and institutional situation. They could in particular better understand the kind of difficulties faced by others and could exchange their different views regarding the credit issue.
</t>
  </si>
  <si>
    <t>Regarding our targeted learning topic on flooding process, all participants stated that they learned about the water expansion dynamic thanks to the possibility to watch the simulation model operating live which was something new for most of them.
Regarding our goal to foster learning on alternative prevention measures (others than building or reinforcing dikes), participant feedbacks showed evidence of a mixed success.
Finally, participants reported that the simulation game was very interactive and favors many interactions between participants. Some of them tried to develop coordination strategies, quite unsuccessfully because the players focused on improving dikes and were not constrained enough.</t>
  </si>
  <si>
    <t>Increased system understanding</t>
  </si>
  <si>
    <t>Enjoyable</t>
  </si>
  <si>
    <t>Enjoyable
Raised awareness
Increased system understanding</t>
  </si>
  <si>
    <t>Facing a crisis leads to a better understanding
Crises were turning points in the game process. First, players questioned the ‘myth’ of an unlimited resource thatprevailed in recent years
When the play-ers had faced water crises, they started to compare crop cards and the water requirements of each crop. Players realized that doublerice cropping consumed the most water.
The unexpected crises enabled the participants to better understand existing and future interactions between land, a particular crop, and water management.
Upscaling water demands
This outcome confirms FOWIS’ ability to explore interdependen-cies across scales.
This confirms that FOWIS is a useful learningtool for stakeholders who act at different scales, as observed by Etienne (2003) in other contexts.
Defining allocation strategies
players drew inspiration from existing allocation strategies. 
players created and explored alternative (new) allocation strategies.
Here, the participants used FOWIS to explore water manage-ment strategies adapted to ‘future scenarios’. But many of theresults of this experiment showed that the game sessions were also useful to understand current water resource and demand manage-ment issues in the irrigated system.</t>
  </si>
  <si>
    <t>Basically builds on the other Keijser publication</t>
  </si>
  <si>
    <t>Verification of research method</t>
  </si>
  <si>
    <t>Increased system understanding
Establish experiential environment</t>
  </si>
  <si>
    <t>Nevertheless, the policymakers involved in the project noted that the SG had significantly influenced the ways in which they deal with cross-border MSP. The method was successful in improving understanding, building a community of practitioners, challenging agencies (e.g. Rijkswaterstaat in the Netherlands) to upgrade their own Geoweb systems, encouraging Russian planners and politicians to visit their German colleagues for further study on this new profession and enhancing awareness in Belgium with regard to their dealings with other countries (e.g. the Netherlands). Furthermore, the game is increasingly being regarded and used as a helpful training tool for future policymakers in classes in Master’s degree programmes and other curricula.</t>
  </si>
  <si>
    <t>Increased system understanding
Real world adoption</t>
  </si>
  <si>
    <t>Establish experiential environment</t>
  </si>
  <si>
    <t xml:space="preserve">Increased system understanding
</t>
  </si>
  <si>
    <t>During the first scenario, players are restricted to the first source of knowledge. Their empirical knowledge can gradually increase as they progress throughout the game and find out the hidden rules. This individual substantive learning process explains only in parts the improved results recorded during the second scenario. Collective learning happens throughout the discussions allowed in the second scenario. However, debriefings at the end of each game session suggest that only in a few cases were the players able to correctly infer all the underlying dynamics of the model.
Nevertheless, ReHab allowed us to analyze both the emergence of cooperation amongst Households and the initiation of a dialogue between the Harvesters and Rangers. The tension between these two dimensions of the communication is critical and might be the most influential factor to explain the observed results.</t>
  </si>
  <si>
    <t>The design and implementation of our RPG in the case study area of Apuí (South Amazonas) triggered three aspects of social learning: technical learning, socio-institutional learning and engagement in collective action.
Regarding technical learning, the game familiarized farmers with the technicalities involved in implementing the new CSA practices.
The non-project farmers learned about the technical aspects of the coffee agroforestry and silvopasture systems. In the pre-game interviews most stated that they had no in-depth knowledge about the new activities, though some were aware of their existence. The post-game interviews revealed that game play made them learn about the technicalities involved, such as the fact that greater investments would be needed in terms of infrastructure and other resources.
Most of the project farmers experienced a different type of learning: hinged on a deeper understanding of the implications of the new activities for farm management. An important learning point for these farmers was the need to adopt a long-term vision on farm investment and land management.
The RPG can therefore be said to have promoted a shift from an individual perspective to a group perspective and shared understanding of the system.
Engagement in collective action was triggered by several factors during the RPG. The game’s open atmosphere and subsequent discussions induced greater trust amongst the participating farmers. Some even envisaged creating a farmers’ cooperative together to realize CSA more cost-effectively. Although the game represented an abstraction and simplification of reality and depicted hypothetical situations, it nonetheless struck a chord among some players, as they attached real-life value to the game outcomes. The simulated platform provided players freedom, along with the opportunity, to share knowledge and experiences and discuss the real problems they faced.</t>
  </si>
  <si>
    <t xml:space="preserve">Smallholders who participated in the pilot sessions enjoyed playing the game and the in-depth discussions on consideration of cleared-field and forestbased land-use types in the game as well as in real-life. RESORTES and other simple and stylized games appear to be appropriate tools to stimulate active participation of farmers and other stakeholders in landscape planning process, especially those stakeholders that are usually not actively engaged in collective processes. 
Participants appreciated the game’s capacity to actively involve a variety of community members, in particular those participants that were usually not involved in real-life communal land-use planning. According to participants, the game created a fun setting in which serious issues could be openly discussed.
The proposed RESORTES monitoring and analysis scheme attempts to meet the requirements of more in-depth and structured analysis of collective decision-making processes during social experiments with games </t>
  </si>
  <si>
    <t>1) a list of GS contributions in achieving CBDRM process indicators; and 2) evidence that suggest that GS can be used as a valuable tool to build CBDRM process by promoting social resilience through CCG in local communities in Thailand.
The CCG experience therefore served to reinforce community practices during times of disaster by (a) building greater understanding of the importance of CBDRM in the community, (b) teaching about participatory disaster risk assessment and management and community managed implementation toward ‘Process Indicators of CBDRM’ by ADPC.
Through participation in the CCG, players acquired “Knowledge of risk and hazard consequence”,
Residents also became “Aware of importance of disaster management planning” by participating in GS.
CCG also sheds light on “Shared community beliefs and values”, “Social network, Collective efficacy”, and “Democratic and collaborative decision-making and problem solving policies and processes”. They were two levels of collaboration: community members inside zones and between zones, and then community members and mayors.</t>
  </si>
  <si>
    <t>In the pilot runs, the water management strategies were typically reactive in response to flood events. These preferences are in line with the overall development of the coalition perspectives that—for all pilot runs—remained within the hierarchist and egalitarian domains.
Regarding the extent of perspective change, we observe minor shifts of perspective, but not complete transitions from one perspective to another.
Individual players were hesitant to shift coalitions once they felt loyal to their team and thus the strengths of the coalitions did not change.
the simulation game is a useful tool to explore possible future river management dynamics. It generates relevant insights in the water management strategies that may be chosen under future conditions, the possible drivers underlying future societal perspective change, and the way advocacy coalitions may interact.
In the debriefings, game players emphasized that exploring water-society interaction is a main virtue of the approach. Their experience indicated that long-term water management involves actions and reactions and that water management strategies that seem suitable now, may need to be adapted in the future, due to (possibly unforeseen) developments and events. They experienced how adopting certain river management strategies now may restrict river management options in the future. Consequently, exploring no-regret (and regret!) options were mentioned as benefits of the gaming approach.</t>
  </si>
  <si>
    <t>Change in views</t>
  </si>
  <si>
    <t>Basically, the grazing game is instrumental for eliciting the players’ subjective perceptions, goals, and expectations within the specific context described. It is a simple and straightforward tool for better understanding the perceptions and behaviors of the local people in a relatively realistic context. Moreover, this tool facilitates social learning particularly for the scientists involved.
It was so simple that the players easily related to the game concept, and it was favorable especially if the end target was the integration of different knowledge systems
However, fully addressing the definition of social learning of Reed et al. (2010) is not possible in the current implementation design of the RPGs, and we considered this a limitation.
The game enabled us to examine farmers’ behavior under unpredictable rainfall patterns with clear targets for their livelihoods with consequences such as land degradation. Through the game trials, we identified coping strategies and local ecological knowledge for increased climatic variability. Furthermore, the game provided the farmers with an opportunity for observing the implications of their land-use decisions on their livelihoods. The replication of the game around the study area enabled us to assess whether the game can facilitate social learning. We found that the game was instrumental for eliciting the players’ subjective perceptions, goals, and expectations within the specific context described but was limited in facilitating social learning, particularly the transformative form of learning.</t>
  </si>
  <si>
    <t xml:space="preserve">Our first conclusion is that, from both a socio-political and a technological perspective, the Climate Game provides insights into fragmentation among sectors by creating an immersive simulated environment.
Overall, we conclude that simulation gaming is a useful instrument to facilitate the building of connective capacity among water and spatial plaiming sectors. It is an instrument for both policy analysis and policy learning. By playing the game together, stakeholders can gain a better understanding and experience of the need for and skills required for cooperation among sectors, which should enhance connection and integrated planning in real-life policy issues.
The analysis shows that the participants assessed the quality of the game as good.
In general, we can say that the game was realistically related to the social elements in the game, and neither valid nor invalid for the physical representation of the reality. However, in the debriefing, the participants questioned the realism of the stakeholders in the game. It can therefore be concluded that at a higher level of abstraction the game represents the real-world processes. However, at a more detailed level the representation of the actors and the technical-physical indicators is limited'
</t>
  </si>
  <si>
    <t>Real world adoption</t>
  </si>
  <si>
    <t>Increased system understanding + Establish experiential environment</t>
  </si>
  <si>
    <t>Increased system understanding + Real world adoption</t>
  </si>
  <si>
    <t>Increased system understanding + Change in views</t>
  </si>
  <si>
    <t>Social learning</t>
  </si>
  <si>
    <t>&lt; Wel genoemd, anders gebruikt</t>
  </si>
  <si>
    <t>Pre + Post</t>
  </si>
  <si>
    <t>During + Post</t>
  </si>
  <si>
    <t xml:space="preserve">Questionnaires &amp; observations &amp; debriefs &amp; interviews &amp; control group
Questionnaires (pre &amp; post): to collect information about: (a) the participants understanding of climate change scenarios, (b) their understanding of climate change uncertainty, (c) the role of uncertainties in climate change adaptation in water management, and (d) the participants backgrounds. Central to the survey were questions about their perception of the uncertainty of natural climate variability versus the uncertainty
of human induced change. Similar questions were included in a shorter version of the survey which was employed after the experiment took place in order to test our hypothesis that the game influences the participant’s perception on natural variability and human induced climate change uncertainties.
Discussions (during): To collect data about the influence of the game as communication instrument on climate uncertainties, the discussions among participants during the game were recorded and transcribed.
Debriefings (post): Collective discussion on what players learned from playing the game and how the game functioned in communicating uncertainties. Specifically, they were asked to reflect on their experiences on natural and human induced climate change. The debriefing session was digitally recorded. 
'Interview' (post-post): In September 2013, all water managers received an email asking them to reflect on the value of the simulation game in communicating climate change uncertainties.
Control group: experimental- and control group were given different assignments to measure the influence of the game. The experimental group started with historic and current trends of natural variability (familiar uncertainties), followed by different confrontations of natural variability and human induced climate change scnarios. The control group played the game with human induced climate change (unfamiliar uncertainties). </t>
  </si>
  <si>
    <t>Observations &amp; Interviews
Interviews (post &amp; post-post): self-reflective reporting on learning in relation to communcative learning and transformative learning (Van der Veen, 2000)
Observations (during): During gaming sessions, besides general observations of players’ behaviors, observers focused on particular aspects. Whereas in the first game, the focus was on the discussions among players about soil-erosion damage in their fields, in the second game, the focus was on informal exchanges of cash among them.</t>
  </si>
  <si>
    <t>Observations &amp; Interviews</t>
  </si>
  <si>
    <t>During &amp; Post
A debrief (post) --&gt; participants discussed their impressions of the game, including what they liked and did not like, as well as future improvements.
A questionnaire (post) --&gt; participants were asked to complete an evaluation form that consisted of both closed-and open-ended questions (5 point Likert scale on closed questions), on questions related to their experience and what they liked/dislike, what improvements they saw possible.
A report (during/post) --&gt; Written by participants, referees and observers invited to view the game and provide recommendations for future improvements</t>
  </si>
  <si>
    <t>Debriefs &amp; questionnaires
Debrief (post): to discuss players' impressions of the game, including what they liked and did not
like, as wel las future improvements.
Questionnaires (post): self-reflective learning through closed- and open-ended questions (5-point Likert scales)
Observations (during/post): a report written by referees and expert observers based on observations during the game</t>
  </si>
  <si>
    <t>How is learning through collaborative serious games conceptualized?</t>
  </si>
  <si>
    <t>When is data collected in the evaluation of collaborative serious games?</t>
  </si>
  <si>
    <t>What are the learning effects of applying collaborative serious games according to their evaluations?</t>
  </si>
  <si>
    <t>Meya</t>
  </si>
  <si>
    <t>Moser</t>
  </si>
  <si>
    <t>Sausse</t>
  </si>
  <si>
    <t>GO2Zero</t>
  </si>
  <si>
    <t>4: experiential learning: Experiential learning is the process of learning, or meaning making, based on a person’s direct experience with some event or element of the world (Dewey/Kolb)
constructivist learning: It follows that a successful learning environment must provide physical and/or social opportunities for learners to experience epistemic conflict and resolve this conflict through support for self-reflection and self-regulation. (Piaget)
collaborative learning: Piaget’s theory of cognitive development has been criticized for largely ignoring the social aspects of learning ... collaboration has been defined as “a process by which individuals negotiate and share meanings” and “a coordinated, synchronous activity that is the result of a continued attempt to construct and maintain a shared conception of a problem” (Roschelle &amp; Teasley, 1995)
game theory: not really defined; A key assumption behind simulations is that users will “learn by doing”.</t>
  </si>
  <si>
    <t xml:space="preserve">Observations
We collected field notes that included descriptions of behaviors and quotes from players. We analyzed our observational data using open coding to search for repeated patterns of verbalizations and interactions. </t>
  </si>
  <si>
    <t>Most participants who talked about what they learned commented that keeping the planet healthy was difficult. Some participants verbally noticed the relationship between facility costs and environmental impact (e.g. cleaner energy facilities cost more). We did not hear participants verbalize that they learned any new specific knowledge from the game or information cards. However, it was not our goal to “teach” specific things related to sustainability concepts, but rather to enable a shift in awareness about the complexity of the issue. Our observations show support for the achievement of this goal.</t>
  </si>
  <si>
    <t>Same game as Antle, 2011</t>
  </si>
  <si>
    <t>During
Observations (during)</t>
  </si>
  <si>
    <t>Pre (some) &amp; During &amp; Post
Surveys (Pre (some) &amp; Post): In case of only a post-game survey, personal and other background information was added to the survey.
Observations (During): Observations were done by all facilitators. Facilitators wrote down the observations especially about the topics of meetings and remarkable actions of players. Additionally, notes were taken in the debriefing. After the session, the notes of individual facilitators were collected.</t>
  </si>
  <si>
    <t>Questionnaires &amp; Observations
Questionnaires: These questionnaires consist of Likert-scale statements, open questions, and multiple choice questions. The topics of the questions are personal information (such as age, role), expectations about the game, experiences with the game, and participants’ opinions about the transition process. For the questions about expectations and experiences with the game a five-point Likert scale was mainly used as these
are used in comparable game studies and the categories could be easily labelled (strongly disagree, disagree, neutral, agree and strongly agree).  
Observations (during): 
Observations (During): Observations were done by all facilitators. Facilitators wrote down the observations especially about the topics of meetings and remarkable actions of players. Additionally, notes were taken in the debriefing. After the session, the notes of individual facilitators were collected.</t>
  </si>
  <si>
    <t>The results showed a diversity of learning effects within and between different groups. According to the comments of participants, they especially learned to understand the complexity and the impact of (not) taking the lead. Even though European municipalities have limited formal or regulatory powers to initiate and enforce building-related energy improvements, participants generally considered the municipality the most authorized player to take up the coordinating role in the local energy transition process. The students in one of the sessions reflected on the experience of stakeholders being dependent on each other, the need to share information, and they remarked that even with the common, given objectives it was difficult all the same.
The second objective of learning about opportunities for further action mainly takes place in the debriefing. During the debriefing, especially in the Sevilla, Menorca, and Dubrovnik, a great deal of information was shared amongst participants on their regional specific traits and challenges and how different laws and regulations impact the energy system and the transition process. ... The results also showed a large difference between these sessions, with many expert practitioners involved, and the sessions with less directly involved participants. In sessions with directly involved people, the participants became quickly acquainted to the game scenario and started with making strategies earlier. Further, the experiences of the game could be related more easily to real practice and they brought specific local issues into the game.
As can be seen in Table 5 the participants mostly agree or slightly agree with the statements about learning effects. They especially learned to work together (M = 3.80), gained insights in the different stakeholders (M = 3.79), experienced the dynamics of the transition process (M = 3.88) and experienced the interaction between the stakeholders and effects on a system scale (M = 3.89).
If we look at the separate sessions we see varying results. The sessions in Dubrovnik, Sevilla and Menorca had much higher means (see Table 6). These results show that the game has an educational value to get a better understanding of the complexity of the transition process.</t>
  </si>
  <si>
    <t>No conceptualization provided
The simulation game GO2Zero intends to achieve learning goals at two levels: within the game participants learn of the complexity of and opportunities for action to further the local energy transition. In addition to learning within the game by participants, researchers can also learn from the game regarding the real-life complexity of relationships, possible actions, and their consequences as reflected in a game.</t>
  </si>
  <si>
    <t>Eisenack (2012), KEEP COOL</t>
  </si>
  <si>
    <t>Pre &amp; During &amp; Post
The effectiveness of the simulation game KEEP COOL is assessed by combing quantitative data on individual in-game decisions with pre- and postgame surveys on beliefs about international climate politics.</t>
  </si>
  <si>
    <t>Questionnaire &amp; Observations
Questionnaire (pre/post): questionnaire on beliefs about international climate politics: Six items are newly designed to capture individual beliefs about international climate politics. In the postgame survey, respondents are additionally asked for their motivation and engagement during the game, how well they comprehend the game rules, and whether they cooperated with other players in the game. All items in the questionnaires are rated on a five point Likert scale from completely disagree to completely.
Observations (during): quantitative data on individual in-game decisions: In-game decisions are tracked with a standardized observation sheet. Cooperative and noncooperative decisions are only recorded if they are underpinned by a flow of game currency. Thus, we abstract from ‘soft’ cooperation like verbal agreements or emotional support. We measure cooperative and non-cooperative decisions by the number of players’ decisions for carbon neutral (variable green) or carbon emitting technologies (variable black; see Table 2 for a description of all variables).</t>
  </si>
  <si>
    <t>Quantitative
in-game observations --&gt; quantitative decisions
questionnaire --&gt; quantitative through 5 point Likert scale
This study has provided quantitative evidence on the effectiveness of a simulation game to communicate and teach scientific insights on international climate politics.</t>
  </si>
  <si>
    <t>Not really conceptualized, but links to normative learning:
First, the effectiveness of a simulation game to change players’ beliefs about international climate politics is tested quantitatively. Second, we investigate how beliefs about international climate politics change
through gaming. Third, we study how the kind of decisions made within the game (and thus the game design) may change beliefs.
Mentions experiential learning as the conceptualization, lacks references (e.g. Kolb):
Players make individual, first-hand experience (Mendler de Suarez et al. 2012) of otherwise abstract phenomena like strategic interaction or feed-back loops. This may create an enormous learning potential due to triggered emotions (Wu and Lee 2015).
A main innovation of the paper is to study the potential of a simulation games for experiential learning in the context of climate change by linking in-game decisions to changing beliefs about climate politics.</t>
  </si>
  <si>
    <t>Pre &amp; During
Questionnaire with Quiz (Pre): Additionally, to test participants’ ability to solve abstract problems, a quiz was conducted before the experiment started: For the quiz, which tested participants’ ability to solve abstract problems, a  ruskal–Wallis test shows no significant differences between the treatments. 
In-game data (during): results of the treatment groups</t>
  </si>
  <si>
    <t>The learning effect in the first sequence is estimated simultaneously for all participants. The profit maximum would be reached with a fertiliser use of around 400 kg, depending on the price. Most of the participants are clearly below this level of fertiliser use; thus we can expect some adoption. The learning effect, i.e. the general trend in the amount of fertiliser used, is not significantly different from zero in the first sequence and is also not significantly different in the control treatment in the second sequence. For the socioeconomic data, the learning effects are not significantly different from zero for the quiz, the age of the participants and the owned land. However, we found a significant positive learning effect for women, for household size and for palm oil farmers, whereas education has a significant negative influence on this learning
effect at a 5% level. Moreover, the owned land has a negative influence on fertiliser use at a 10% level. It seems that the learning effect is not a general trend for all participants but only for certain groups of participants. The coefficient for the price effect is 0.037 and is significantly different from zero for the first sequence. Thus participants anticipate price developments of 7.5 kg for a price increase of 200 Rp. Interestingly, for the available control treatment in the second sequence, price effects are not significant.</t>
  </si>
  <si>
    <t>No conceptualization provided, but learning effect as measured links to cognitive learning only</t>
  </si>
  <si>
    <t>Questionnaire &amp; In-game data logging &amp; Control group
Questionnaire with Quiz (Pre): Additionally, to test participants’ ability to solve abstract problems, a quiz was conducted before the experiment started: For the quiz, which tested participants’ ability to solve abstract problems, a  ruskal–Wallis test shows no significant differences between the treatments. 
In-game data (during): results of the treatment groups
Control group (during): control group + 4 treatment groups</t>
  </si>
  <si>
    <t>Mentions learning and knowledge acquisition, no conceptualization
Policy exercise can support decision-making or knowledge acquisition, which was our goal.</t>
  </si>
  <si>
    <t>During
Several types of data were collected at the end of games: simulation results; records of all actions taken by the players, including possible coexistence measures; and maps drawn up by the players with the help of freely distributed empty field maps. Sound recordings and notes taken during the game provided additional information on the reasons for the decisions taken by the players and the major event occurring during games (alliances, sharing of information, misunderstandings, coordination meetings, etc.).</t>
  </si>
  <si>
    <t>Observations &amp; In-game data logging
Observations (during): sound recordings and notes to analyze the reasons for the decisions taken by the players and major events (alliances, information sharing et, misunderstandings, coordination meetings, etc)
In-game data logging (during): simulation results, records of all actions taken by players and maps drawn up by the players
Within this framework, we varied the risks of admixture and the information available to stakeholders, to assess their ability to manage the situation in different contexts. By combining RPG and modelling, as explained by Barreteau et al. (2007), we were able to place the participants in a situation in which they were required to manage coexistence (role-playing), and we were able to represent the consequences of their decisions (modelling) and combined both to design scenarios.</t>
  </si>
  <si>
    <t>As an illustration of this learning process, harvest quality, at field level, improved in Beauce between the two rounds (Table 3). This result is remarkable given the higher GM pressure in the landscape in the second round of the game. This improvement was due to the implementation of measures at field level. It was not possible to determine whether these measures resulted from a learning process, or from the earlier provision of information.
Our methodology had a cognitive rather than normative goal and the scenarios generated should not be seen as models for the management of coexistence.
The results obtained in this study led us to reformulate the question we were trying to address: the key issue in coexistence is not defining the “best” measures, but facilitating information transfer between farmers, and between farmers and grain-collecting companies, to ensure efficient management and the reduction of costs.</t>
  </si>
  <si>
    <t>Collective learning
learning is broadly defined as a change in the way people perceive their social and ecological environment (and consequently the way they act on it), according to their experiences, beliefs, values, intentions, and interactions with other people.</t>
  </si>
  <si>
    <t>Social learning (not conceptualized though)
Such simulation game may be used to demonstrate or to convey messages (such as using natural resources effectively and prudently) in an efficient manner as participants are actively involved in the learning process (Klabber, 2009).</t>
  </si>
  <si>
    <t xml:space="preserve">Experiential learning (Kolb)
One of the most convincing arguments for using game/simulation is that it favors experiential learning cycle, which is a particularly effective process for long-term knowledge retention (Kolb, 1984). </t>
  </si>
  <si>
    <t>Social learning (Reed &amp; Mostert)</t>
  </si>
  <si>
    <t>Social learning (no conceptualization)
A final debriefing stage is dedicated to collectively analyzing and evaluating the activity, sharing group and individual learning, and discussing the potential for real-life application of the lessons learnt.</t>
  </si>
  <si>
    <t>The questionnaire revealed that the participants felt that the Shariva game allowed them to achieve the objectives of the game with respect to creating awareness and increase knowledge on addressing and resolving transboundary flood issues.
The dual purpose of the game, to enhance the capacity of the participants in addressing and resolving transboundary issues, and to test and review the policies, worked out very well. By going through the simplified framework, step by step, in a simulation environment, issues are highlighted which are not clear when it is only provided on paper or taught in class. At the same time the incremental learning of the participants was proven by the pre- and post test evaluation of the game, which indicated that after attending the training workshops some aspects were still unclear.
The game was part of a longer training programme addressing all the issues, however, the participants gained additional knowledge and insight by playing the game, well above what they had learned during the earlier training workshops. Playing the game proved an important aspect in training and education of such complex systems.</t>
  </si>
  <si>
    <t>Meaningful play (Salen en Zimmerman, 2004)
Another aspect often stressed is that games would allow participants to play roles different than their own, which might encourage playing, learning, and reflecting upon issues, institutions roles and positions and possible solutions from different perspectives
“players make sense of the relation between actions and outcomes during the game, rather than to what players might learn from the game about anything other than the game itself”.</t>
  </si>
  <si>
    <t>Social learning (Pahl-Wostl/Muro &amp; Jeffrey/Reed)</t>
  </si>
  <si>
    <t>Policy oriented learning (but not really conceptualized)
In this research we assume that the best way to accomplish this is to integrate a form of modelling or simulation of complexity with actor interaction and learning (Mayer, 2009; Mayer et al, 2005). Stakeholder interaction and learning in the modelling process are crucial, as planning-support models currently suffer from a lack of implementation.</t>
  </si>
  <si>
    <t>Players evaluated the various versions of the game design and gameplay as good (or fairly good), with suggestions for improvement. In general, the players found the game engaging and enjoyable (fun), and a majority of the players said that they would like to play it again.
Nevertheless, SPRINTCITY does not seem to be useful as a tool for persuading people of the virtues of TOD, for demonstrating its usefulness, or for persuading those who oppose TOD that it is a desirable planning strategy.
The players reported that they experienced the game as instructive (or very instructive) and useful for policy making (see the table in the appendix). They were of the opinion that the game communicates the importance of TOD. According to the majority of the players, the game had increased their awareness of the land-use plans and ambitions for all the stations along the corridor (not just ‘their own’), as well as with regard to the opportunities and conflicts that these plans and ambitions can cause.
We found SG to be a viable tool for approaching complex planning issues (eg, TOD). The objective and unobtrusive measurement of first-order learning (or other) effects remains a challenge. It also remains to be seen whether the measured learning effects are indeed followed by new or revised policies, questions of transfer, and second-order effects.
The gaming sessions reproduced, confirmed, and, in some cases, negated many of the dynamics concerning TOD.
If anything, the gaming sessions demonstrate that there are indeed barriers to the implementation of TOD that cannot be overcome easily, even in a gaming context.
In conclusion, we can state that SPRINTCITY helps to identify barriers in the TOD process, as well as the factors that cause these barriers.</t>
  </si>
  <si>
    <t>No conceptualization
Mentions learning-by-doing later on</t>
  </si>
  <si>
    <t>Experiential learning (Kolb)
According to Kolb, experience plays into the learning process [37]. The game exposes participants to different learning moments that cater to different learning styles. At different points in the game, participants are exposed to the four stages of Kolb’s experiential learning cycle (Figure 2).
- Concrete Experience (1):
- Reflective Observation (2):
- Conceptualization (3)
- Active Experimentation (4):</t>
  </si>
  <si>
    <t>Social learning
Furthermore, many authors differentiate between a technical level and one or two ‘higher’, conceptual levels at which learning can take place [40–43]. For Argyris, for instance, single-loop learning is “when a mismatch is corrected without changing the underlying values and status quo that govern the behaviours”, whereas double-loop learning means that the mismatch is “corrected by first changing the underlying values and other features of the status quo” [37: 1087f]. Building on the literature and with a view to developing a typology specifically suited to examine learning from policy games.</t>
  </si>
  <si>
    <t>Not conceptualized
To evaluate FOWIS as a learning tool aimed at increasing stake-holders’ awareness of each others’ strategies, the analysis focusedon the players’ strategies.</t>
  </si>
  <si>
    <t>Social learning
According to Mayer and Veeneman (2002), simulation games provide a forum: for learning about a system; to facilitate research into the models and gameplay; and for intervention through the identification of practical solutions. They provide a safe space to experiment with decisions without real consequences, facilitate discussion and learning about complex systems, and fill a gap between problem identification and action that allows for reflection regarding drought preparedness options (Crookall and Thorngate, 2009).</t>
  </si>
  <si>
    <t>Learning mechanisms (Akkerman &amp; Bakker, 2011) --&gt; Knowledge co-creation + boundary objects/crossing
The idea of ‘discontinuities’ is that these can trigger learning in the form of collaborative re-framing – basically knowledge co-creation through the (re)-creation of identities, and reshaping of relationships and practices. Boundary crossing in the learning sciences is referred to as the interactions and transitions between agencies and stakeholder groups across different domains and boundaries (Kaufman and Smith, 1999; Akkerman and Bruining, 2016). For this study, the definition of boundary crossing is expanded to being a generative process that involves the effective integration of diverse knowledge types and domains while creating new knowledge through collaborative networks and processes.
Effective boundary crossing processes and objects may facilitate different learning mechanisms that are described by Akkerman and Bakker (2011) as follows: (a) identification – referring to individuals and groups learning about how the many different practices contained within a boundary relate to each other; (b) coordination – referring to learning about how to work with others at the boundary to develop more sustainable practices and routines; (c) reflection – referring to the expansion of perspectives on practices that takes place when working at boundaries; and (d) transformation – referring to the collaboration and co-development of (new) practices, routines and knowledge.</t>
  </si>
  <si>
    <t>By and large, and based on a great many player debriefings, and observations, as well as player comments in the survey, we conclude that the game is considered meaningful and insightful.
Based upon observations of the facilitators, video recordings, and the results of the questionnaires, we can safely conclude that the participants of the MSP Challenge board game sessions get, in general, deeply engaged and immersed in the game. After the short introduction, the players jump into it, and the moderator often has a hard time stopping the players for intermediate or post-game reflections.
Our analysis shows that, in general, all participants enjoyed playing the MSP Challenge board game but that there are differences between the three cases relating to the self-reported perception of learning about MSP and gameplay enjoyment.
The MSP Challenge board game works very well as an introductory game (i.e., entry level game) for participants with a limited knowledge of MSP as it provides a build-up of information in an informal manner. From the Scottish case, it became evident that the participants’ general lack of previous involvement in MSP did not appear to affect their ability to learn and enjoy playing the game.
Additionally, sustained debate and enthusiasm for MSP, coupled with a likeliness to recommend the game to others, also hinted at the potential for wider learning within the broader stakeholder community. Participants continuing debates and demonstrating enthusiasm over MSP issues after the MSP Challenge sessions had finished alluded to the potential comparative effectiveness of gaming over more traditional methods of engagement.
There are also significant differences with regard to self-reported learning on MSP. The analysis shows a significant, negative relationship between previous involvement in MSP and self-reported learning. Players who have previously been engaged in MSP seem to pick up less new things from the game. The analysis also shows a significant difference in terms of learning based on the country of origin; with regard to enjoyment this relationship is less strong. Possibly, players with different cultural backgrounds do not respond the same to the gameplay.</t>
  </si>
  <si>
    <t>Constructivist learning philosophy (Papert)
constructionist learning philosophy [38], which suggests that players learn about the world and their relation to it, through creation and construction.
Also: The game is not only an individual learning experience but also a shared social learning experience. (but not conceptualized/referenced)</t>
  </si>
  <si>
    <t>Social learning
More recently their use has focused on (social) learning about uncertainty, training water managers, increasing cooperative behaviour where there is high complexity, where actors are diverse and where values drive different perspectives on climate change (Harteveld, 2012; Hoekstra, 2012; Schenk and Susskind, 2015; Valkering et al., 2012; Van der Wal et al., 2016; Van Pelt et al., 2015). Games can also address the social and political conditions that create decision-making challenges in uncertain and changing conditions (Wise et al., 2014).</t>
  </si>
  <si>
    <t>The shift to using a dynamic adaptive pathways planning approach was primed by the use of the Game, supported by the role of the knowledge broker, reinforced by regular interaction between scientists and participants, and through the use of uncertainty communication. The game stimulated the process of social learning as described by Baird et al. (2014) and Van der Wal et al. (2016) and catalysed the uptake of DAPP.
The Game enabled learning that created a space for changed practice. The game sessions resulted in the three types of learning described by Baird et al. (2014).
a) Acquiring new knowledge or restructuring existing knowledge (cognitive learning): As a result, both the short- and long-term consequences of decision choices were considered, as participants received the simulated feedback after each time slice in the Game.
b) Changing practice norms leading to convergence of group approaches to decision making (normative learning): The Game stimulated discussion amongst the participants about using the game to experiment with options based on different planning time horizons across different council functional domains and the impact of a portfolio of options on future outcomes.
c) Improving understanding of the views of others and greater cooperation (relational learning). Participants reported that they learned to listen to different viewpoints based on different visions for the future in a Game setting and could see how the Game could be used for encouraging greater cooperation at a political level.
These findings are consistent with those of Runmore et al. (2016) with respect to enhancing collaborative capacity, fostering social learning and developing adaptation literacy amongst the participants studied.</t>
  </si>
  <si>
    <t>Social learning (Pahl-Wostl/Mostert)
These outcomes of social learning may be both technical (e.g., effectiveness, sustainability, and integration) and relational or normative, such as a sense of ownership of solutions by different stakeholders, active citizenship, inclusive governance, and self-governing capacities [14]. Social learning occurs in multi-party collaboration processes that take place in the actors’ networks or in “communities of practice” [3].</t>
  </si>
  <si>
    <t>Policy-oriented learning
The game as policy-oriented learning: One primary and important use of the game MSP Challenge 2011 is as a policyoriented learning tool for the players, teaching them about the complexity of MSP and encouraging them to try out strategies and to gain experience with planning processes and tools.
Much has been written about the design and use of SG in learning and policymaking. For reasons of brevity, we refer the reader to other publications (Mayer, 2004, 2005). The method can be broadly characterized as follows: 
(1) Experiential: It relies on actions, trial and error, and feedback.
(2) Experimental: It provides possibilities for starting over and retrying under different circumstances.
(3) Safe: It has no consequences for the outside world.
(4) Interactive: It involves interaction with other players, with computers, with game paraphernalia and with facilitators.
(5) Engaging: It uses human emotions (e.g. joy and pleasure) to enhance motivation.
(6) Immersive: It uses various techniques (e.g. stories, visuals, a 3-D world and levelling) to create a feeling of flow.
(7) Challenging: It adapts to the level of the players, while challenging them to do better and to compete with others, themselves or a system.
(8) Reflective: It encourages collective sensemaking with regard to what happened, including why and what it means for the real world.</t>
  </si>
  <si>
    <t>Sustainability is a question</t>
  </si>
  <si>
    <t>Academic research question is not really answered..
The most significant conclusion from the gaming sessions was that ProRail did not actually need “market mechanisms” with flexible prices; ProRail and its clients need open information and communication about the available capacity. Another conclusion is that open communication and even cooperation between cargo transporters does not necessarily reduce ProRail’s coordinating power, provided that ProRail remains the ultimate decision maker.
The real-world impact (Level 5 in Table 1) of the three game sessions was assessed by monitoring the policy-making process after the game sessions. The real-world impact was significant: many of the initial plans and ideas for introducing price and market mechanisms were halted. One concrete result of the gaming sessions was a ProRail initiative to proceed with the project of introducing market mechanisms, using other methods to arrive at solutions ready for immediate implementation.</t>
  </si>
  <si>
    <t>Not conceptualized</t>
  </si>
  <si>
    <t>Social learning (Pahl-Wostl)</t>
  </si>
  <si>
    <t>Effective learning (Wenzler)
Wenzler characterises effective learning through four elements; visioning, knowledge of plausible futures, social learning and impartation of confidence while making decisions. 
First, the Nile policy makers need to comprehend the big picture around climate change induced disasters. Many have termed this as ‘think globally and act locally.’ The parts of the Nile Basin system can only be understood when the person making the decision also has a picture of the entire sum of these parts.
Second, the policy makers should be able to understand the plausible futures of the Nile Basin system. In complex basins, there can never be one future, therefore decision making cannot rely on predictions because the futures are deeply uncertain. Plausible futures enable a policy maker to develop policies that take into account all these futures.
Third, social learning (learning together as one community or organisation) is imperative for learning to be effective. Decision support tools are mainly designed for water manager while the policy makers barely understand them nor use the information emerging from these tools. That is why there is need for tools that facilitate collaboration between policy makers and water manager and facilitate social learning.
Fourth, effective learning is being able to confidently make decisions in the middle of deep uncertainty. Many policy makers are still waiting for scientists to predict the future so as to guide their decision-making. Effective learning is learning that there will never be such a clear print in complex systems and confidently making the decisions without a clear print.</t>
  </si>
  <si>
    <t>Questionnaires &amp; data logging &amp; observations
Questionnaires (pre &amp; post): SART is a subjective rating by a person of their level of SA [24]. The technique involves 10 dimensions, based on three 7-point Likert subscales (1 = Low, 7 = High).
Data logging (during): The in-game assessment was different for each player, depending on the county government they were representing. The assessment measured performance based on the amount of food, energy, and investments made, based on five different scales unique for each county government. Based on the policymakers’ performance, they collect smileys which accumulate in every round.
Observations (during): video recording &amp; debrief notes (both qualitative) to analyse roles of the three facilitators</t>
  </si>
  <si>
    <t>Social learning (Scholz, Dewulf, &amp; Pahl-Wostl, 2013) &amp; experiential learning (Kolb)
Research on social learning has demonstrated that communication and social interactions are key to reducing conflicts and reaching amenable solutions (Scholz, Dewulf, &amp; Pahl-Wostl, 2013).
Our role-playing game, called ReHab, has been designed as an ice-breaker and teaching tool in academic courses and training workshops dealing with ecosystem management, wicked problems and participatory modelling. It also helps to introduce through experiential learning</t>
  </si>
  <si>
    <t>Collaborative ??</t>
  </si>
  <si>
    <t>Social learning (Reed &amp; Pahl-Wostl)
This, in turn, will demand a certain amount of social learning, a process by which stakeholders learn together and from each other to create a collective intelligence and shared understanding</t>
  </si>
  <si>
    <t>Social learning (Reed, Muro &amp; Jeffrey, Berkes)
Stakeholder participation for social learning has become a normative approach to attain sustainable agriculture and natural resource management.
There are various theories on social learning. Most underscore the contextual and social nature of learning and the continuous reflexivity needed to reform social practices in the face of new risks.
Muro (2008: 332) identified the following characteristics: (i) co-creation of knowledge; (ii) reflection and recognition of others’ perspectives and others’ underlying goals and values; (iii) understanding complexity and interdependence, leading to (iv) (partial) convergence of goals (vision), (v) mutual agreement and (vi) collective or coordinated action.</t>
  </si>
  <si>
    <t>No real conceptualization
However, methodologies that specifically allow participants to safely enact and explore the benefits and challenges of complex collective land-use decision-making during the learning process are scant.</t>
  </si>
  <si>
    <t>Social learning (description fits, lacks reference though)
Such processes are usually characterized by a non-hierarchical social structure and require ongoing negotiations and considerable learning – both about the system itself and about other actors in the process.
In this sense, games provide an effective learning tool to explore and improve the process of social learning (Woodhill, 2003) in which actors learn how to deal with a diversity and divergence of views in order to innovate and adapt policies to complex and changing environmental conditions. The model part of the game provides the necessary external feedback about (often non-linear) change of the state of the system (the environment) driven by players’ decisions. The process of social learning engages different actors and leads to improved understanding of interdependencies among actors and between actors and their environment.</t>
  </si>
  <si>
    <t>Not named, but fits experiential learning
On the other hand, GS which this study applied for CBDRM consists of bringing players into game worlds and to let them experience various alternatives or what otherwise cannot or hardly be realized in the real world. Players then go back to the real world and reflect what they experienced in the game in terms of the different outcomes based on different hypothetical choices and compare those with their experiences and situations in the real world to learn about possibilities that result either in improvement or worsening in outcomes.</t>
  </si>
  <si>
    <t>Sustainability?</t>
  </si>
  <si>
    <t>Not named
Simulation games can serve various functions as clarified through the metaphors of Bots and Van Daalen (2007). They can serve both as an analytical tool to gain insight into complex issues (gaming as a “laboratory”) as well as a learning tool for participants offering various forms of support.1 Following the gaming as a laboratory metaphor, simulation games may lend themselves to the development of scenarios in which societal responses—and hence, environment-society interactions, discontinuity, and surprise—are better represented.</t>
  </si>
  <si>
    <t>Social learning (Muro &amp; Jeffrey, Pahl-Wostl, Reed) &amp; experiential learning (Kolb)
In model-supported participatory processes, social learning of stakeholders is increasingly mentioned as an essential component (Muro and Jeffrey, 2008; Pahl-Wostl et al., 2008; Reed et al., 2010).
By providing a feedback link between choices, (simulated) actions and consequences in several cycles or rounds, using a model in participatory processes can lead to stakeholder learning in a similar way as Kolb's experiential learning cycle, amplified by facilitated dialogue and communication between stakeholders. In this cycle, learners move from experiencing the effects of actions to reflecting on these concrete experiences, to (re)forming their abstract concepts of what is observed, and to choosing and testing new actions.</t>
  </si>
  <si>
    <t>Not conceptualized, game is framed as boundary object though, which does deal with learning</t>
  </si>
  <si>
    <t>Social learning (Reed, 2010) &amp; Anticipatory learning (Shostak, 2009)
Hence, participatory adaptive approaches to land-use conflict prevention are needed that facilitate learning among stakeholders (Folke et al. 2002, Cundill et al. 2012). According to Reed et al. (2010), social learning is a change in understanding that extends beyond individuals to become established within broader social units or communities of practice through social interactions among actors by means of their social networks.
Anticipatory learning assumes that if learning outcomes look to the past (memory) too much, what becomes important is mastering a body of knowledge, i.e., local ecological knowledge, whereas if learning focuses forward, knowledge moves into new possibilities, i.e., emergent.</t>
  </si>
  <si>
    <t>Not named, fits experiential learning
Gaming is based upon the assumption that the individual learning and the social learning are induced by taking decisions and experiencing their effects through feedback mechanisms that are built into and around the simulation game and that the learning thus induced can be transferred to the real world.</t>
  </si>
  <si>
    <t>Role playing game + Policy simulation exercise
RPG evaluation limited and vague, total evaluation larger than just the game
First, a briefing session is held to explain the scope and content of the RPG, then the game itself is played, and finally a joint debriefing session is held. In the last step, participants are asked to analyze the negotiation phases and the decisions that have been taken. Finally, they are asked to draw a link between what happened in the game and their own situation in order to see if they are motivated to continue the process and to expose their needs and constraints. An evaluation is carried out at the end of the session focusing on the relevance of the gaming environment (does the gaming environment reflect the farmers’ real situation?) and on the results of the game (understanding the scope and content of joint irrigation project).</t>
  </si>
  <si>
    <t>Sterman</t>
  </si>
  <si>
    <t>Individual learning (Hagmann) &amp; Social learning (Craps)
The tools used in this study are considered to be complementary in the way they provide information and enable the generation of knowledge in the process of solution development (Bluemling et al., 2006). They facilitate individual learning as an iterative process of action and reflection (Hagmann, 1999) but also promote social learning as the growing capacity of a multiple stakeholders’ network to develop and perform collective actions (Craps, 2003).</t>
  </si>
  <si>
    <t>Questionnaires &amp; Individual debriefings (interviews basically)</t>
  </si>
  <si>
    <t xml:space="preserve">Post &amp; Post-post
Questionnaires and individual debriefing sessions (interviews) were used to evaluate the TADLA RPG sessions.
</t>
  </si>
  <si>
    <t>The evaluation of the RPG and the PSE support the hypothesis that abstract gaming addresses educational goals better than realistic simulations. Even if farmers did not play the roles they were assigned, the semicontextual environment of the RPG supported valid learning experiences.
RPG: They were thus able to acquire a more comprehensive understanding of how the components of the system work together. The educational purpose of the game was thus achieved even though the farmers did not completely escape their real-life roles.
PSE: The evaluation of the first simulation showed that it came too early in the process. Apart from the head of the cooperative who had participated to the TADLA RPG, the other farmers lacked information about drip irrigation systems. ... The evaluation of the second session with the same group was much more positive. This session was able to build on the knowledge acquired by the farmers during the previous simulation but above all on the different events that had taken place in the meantime (other field visits, internal discussions, and meetings with the facilitators). The increased participation of the farmers in this session and the discussion of the entire project clearly revealed their commitment to move forward. This time, the PSE helped them to explore scenarios, to make collective and individual choices, and to discuss different issues related to the development of their project.
Overall: Our approach did not specifically aim to solve internal conflicts among farmers’ groups, and it was assumed that using a semicontextual RPG would help the participants to overcome this constraint in order to focus on the learning process. The results of this study show that it worked quite well. In fact, no conflicts appeared during the RPG sessions. However, we assume that our approach could be improved in order to help farmers address this issue. An explicit work on preexisting conflicts could thus be done prior to the RPG, or during the debriefing, using specific facilitation techniques.</t>
  </si>
  <si>
    <t>Forage Rummy</t>
  </si>
  <si>
    <t>Links to knowledge co-production
identifying and assessing threats […] and opportunities and generating the information, knowledge and insight required to effect changes in systems to increase their adaptive capacity and performance.
Such workshops are communication platforms involving researchers, agricultural consultants and farmers who collectively manipulate objects (e.g. cards and computer models) enabling simulation modeling of farming systems and their adaptation to new contextual challenges (e.g. climate change) and new farmers’ objectives (e.g. transition to organic farming). Two synergistic benefits are sought: (i) knowledge production and exchange between participants in the workshops and (ii) integrated evaluation of candidate solutions to a given farming problem.
Adaptive capacity and the corollary concept of adaptive management (Pahl-Wostl et al., 2007) build upon farmers’ local knowledge as well as farmers’ learning about oneself, the farming system and its environment (Newsham and Thomas, 2011). It consists of continually improving management strategies and practices by learning from the outcomes of implemented strategies and practices.</t>
  </si>
  <si>
    <t>Oral/written feedback --&gt; questionnaire/interview</t>
  </si>
  <si>
    <t>Past workshops show that Forage Rummy stimulates farmers’ discussions and knowledge exchange about farming practices. By supporting collective thinking about adaptation of livestock systems to changes in the production context e.g. climate change, it develops farmers’ adaptive capacity.
In the oral and written evaluation of the workshop, both farmers claimed that they appreciated playing Forage Rummy for two main reasons: discussing and exchanging ideas and doing simulations. In particular, MC said that he felt better prepared to increase the area of grassland on his farm and that the workshop had been the opportunity to prepare this adaptation. This echoes Brooks et al.’s (2005) definition of adaptive capacity: throughout the workshop MC improved his ability to design and implement adaptation strategies and to react to evolving hazards and stresses. This was the result of knowledge co-production between farmers and agricultural consultants as already observed in very different contexts (Newsham and Thomas, 2011;Webb et al., 2013). The two farmers did not know each other prior to the workshop and they agreed to keep in touch with each other about their practices. On the other hand, the agricultural consultant greatly valued the fact that farmers had been the main actors in the design of solutions and considered that consequently, they had found the appropriate solution.
Based on the evaluations provided by farmers and agricultural consultants, the 50 or so workshops carried out so far have produced similar outcomes to those described in the example.</t>
  </si>
  <si>
    <t>Post
In the oral and written evaluation of the workshop.</t>
  </si>
  <si>
    <t>Shared learning, close to social learning
We believe that collective management can be addressed by enabling stakeholders to discover different points of view.Their shared perceptions can then be used to facilitate stakeholder coordination and negotiation mechanisms. The challenge is therefore to supply local actors with tools to help them to see the collective consequences of their individual decisions and to initiate a process of negotiation between them with the final aim of creating integrated management of the watershed. ... Several field experiments have demonstrated the effectiveness of such an approach to facilitate dialogue, shared learning, negotiation, and collective decision making among multiple stakeholders.</t>
  </si>
  <si>
    <t>Debriefing
During debriefing sessions, all the players confirmed the interest of using "CauxOperation" as an awareness-raising tool throughout the Pays de Caux.</t>
  </si>
  <si>
    <t>Links to experiential learning (but no reference)
Such simulators enable people to learn key principles of system dynamics, principles that are applicable and useful in diverse settings, not only climate change. … When experimentation is impossible, when the consequences of our decisions unfold over decades and centuries, and when people hold strong prior beliefs, simulation becomes the main—perhaps the only—way we can discover for ourselves how complex systems work and what the impact of different policies might be.</t>
  </si>
  <si>
    <t>WORLD CLIMATE</t>
  </si>
  <si>
    <t>Questionnaire 
Evaluation 3 only: Questionnaire to elicit participant knowledge of and attitudes about climate change.
The survey covered factual, dynamical, and policy questions. Factual questions elicit participant knowledge about climate change. Dynamical questions ask participants about fundamental dynamic processes relevant to climate change, testing their understanding of the process of accumulation, time delays, and potential tipping points. Policy questions elicit participant values and opinions about climate change.</t>
  </si>
  <si>
    <t>Third, although the pre- and post-test comparisons show improved understanding and changed attitudes, research should explore whether participants also improve their general understanding of complex systems, including feedback, stocks and flows, and delays, and whether they can apply that understanding to problems other than the climate.
Questions 10 to 12 provide further evidence that WORLD CLIMATE improved participant understanding of climate dynamics.
Finally, after WORLD CLIMATE, participants are more worried about climate change (Question 6), believe it to be more important to them personally (Question 7), and are more likely to recommend immediate action (Question 8);</t>
  </si>
  <si>
    <t>Experiential learning</t>
  </si>
  <si>
    <t>Collective learning</t>
  </si>
  <si>
    <t>Experiential learning (Kolb)</t>
  </si>
  <si>
    <t>Individual learning (Hagmann) &amp; Social learning (Craps)</t>
  </si>
  <si>
    <t>Meaningful play (Salen en Zimmerman, 2004)</t>
  </si>
  <si>
    <t>Learning mechanisms (Akkerman &amp; Bakker, 2011) --&gt; Knowledge co-creation + boundary objects/crossing</t>
  </si>
  <si>
    <t>Constructivist learning philosophy (Papert)</t>
  </si>
  <si>
    <t>Social learning (Pahl-Wostl/Mostert)</t>
  </si>
  <si>
    <t>Links to knowledge co-production</t>
  </si>
  <si>
    <t>Policy-oriented learning</t>
  </si>
  <si>
    <t>Effective learning (Wenzler)</t>
  </si>
  <si>
    <t>Social learning (Scholz, Dewulf, &amp; Pahl-Wostl, 2013) &amp; experiential learning (Kolb)</t>
  </si>
  <si>
    <t>Social learning (Reed &amp; Pahl-Wostl)</t>
  </si>
  <si>
    <t>Social learning (Reed, Muro &amp; Jeffrey, Berkes)</t>
  </si>
  <si>
    <t>Links to experiential learning</t>
  </si>
  <si>
    <t>Social learning (Muro &amp; Jeffrey, Pahl-Wostl, Reed) &amp; experiential learning (Kolb)</t>
  </si>
  <si>
    <t>Social learning (Reed, 2010) &amp; Anticipatory learning (Shostak, 2009)</t>
  </si>
  <si>
    <t>Situational awareness
Learning: Do the policymakers enhance their situation awareness (SA) of climate change risks?</t>
  </si>
  <si>
    <t>Situational awareness</t>
  </si>
  <si>
    <t>No conceptualization
Mayer and De Jong (2004 p. 226) describe the three main elements of simulation games as follows: “(i) Learning: participants can learn from experiential environments in the game. (ii) Research: the game is an experimental environment through which researchers can learn about the system from the interaction between the participants and the interaction between the participants and (computer) models. (iii) Intervention: the games are experimental environments in which both researchers and participants can make conceptual and instrumental inferences for real decision making”.</t>
  </si>
  <si>
    <t>Increased system understanding
Understanding other perspectives</t>
  </si>
  <si>
    <t xml:space="preserve">Post &amp; Post-post
</t>
  </si>
  <si>
    <t>Direct feedback</t>
  </si>
  <si>
    <t>Questionnaire &amp; Observations</t>
  </si>
  <si>
    <t>Increased system understanding
Raise awareness
Change in views</t>
  </si>
  <si>
    <t>Questionnaire &amp; data logging &amp; control group</t>
  </si>
  <si>
    <t>Observations &amp; data logging</t>
  </si>
  <si>
    <t>Debriefing</t>
  </si>
  <si>
    <t>Questionnaire</t>
  </si>
  <si>
    <t>Raise awareness
Increased system understanding</t>
  </si>
  <si>
    <t xml:space="preserve">Increased system understanding (for those less familiar with the topic)
</t>
  </si>
  <si>
    <t>Verification of research method to evaluate social learning</t>
  </si>
  <si>
    <t>No learning effects reported</t>
  </si>
  <si>
    <t>Understanding other perspectives</t>
  </si>
  <si>
    <t>Links to social learning</t>
  </si>
  <si>
    <t>Knowledge co-production/co-creation</t>
  </si>
  <si>
    <t>Constructivist learning</t>
  </si>
  <si>
    <t>Effective learning</t>
  </si>
  <si>
    <t>Meaningful play</t>
  </si>
  <si>
    <t>Anticipatory learning</t>
  </si>
  <si>
    <t>Other</t>
  </si>
  <si>
    <t>Sum (check)</t>
  </si>
  <si>
    <t>Policy oriented learning</t>
  </si>
  <si>
    <t>Source</t>
  </si>
  <si>
    <t>Sustainable Delta Game</t>
  </si>
  <si>
    <t>Grazing Game</t>
  </si>
  <si>
    <t xml:space="preserve">Raise awareness
</t>
  </si>
  <si>
    <t xml:space="preserve">Increased system understanding
Understanding other perspectives (but mostly for the scientists)
</t>
  </si>
  <si>
    <t>Increased system understanding
Understanding other perspectives
Change in views</t>
  </si>
  <si>
    <t>Increased system understanding (~)
Understanding other perspectives (~)</t>
  </si>
  <si>
    <t>Understanding other perspectives
Building relationships and trust</t>
  </si>
  <si>
    <t>Increased system understanding
Building relationships and trust</t>
  </si>
  <si>
    <t>Questionnaires &amp; data logging &amp; interviews &amp; control group &amp; real world data</t>
  </si>
  <si>
    <t>Post + Post-post</t>
  </si>
  <si>
    <t>Enjoyable
Raise awareness
Increased system understanding</t>
  </si>
  <si>
    <t>Raise awareness
Building relationships and trust</t>
  </si>
  <si>
    <t>Increased system understanding
Raise awareness
Building relationships and trust</t>
  </si>
  <si>
    <t>Building relationships and trust</t>
  </si>
  <si>
    <t>Increased system understanding + Building relationships and trust</t>
  </si>
  <si>
    <t>Building relationships and trust + Establish experiential environment</t>
  </si>
  <si>
    <t>Building relationships and trust + Change in views</t>
  </si>
  <si>
    <t>Increased system understanding + Raise awareness</t>
  </si>
  <si>
    <t>Building relationships and trust + Raise awareness</t>
  </si>
  <si>
    <t>Increased system understanding + Building relationships and trust + Raise awareness</t>
  </si>
  <si>
    <t>Increased system understanding + Raise awareness + Establish experiential environment</t>
  </si>
  <si>
    <t>Increased system understanding
Raise awareness
Understanding other perspectives
Building relationships and trust</t>
  </si>
  <si>
    <t>Raise awareness
Increased system understanding
Understanding other perspectives
Building relationships and trust</t>
  </si>
  <si>
    <t>Increased system understanding + Understanding other perspectives</t>
  </si>
  <si>
    <t>Understanding other perspectives + Building relationships and trust</t>
  </si>
  <si>
    <t>Understanding other perspectives + Raise awareness</t>
  </si>
  <si>
    <t>Understanding other perspectives + Establish experiential environment</t>
  </si>
  <si>
    <t>Understanding other perspectives + Change in views</t>
  </si>
  <si>
    <t>Increased system understanding + Understanding other perspectives + Building relationships and trust</t>
  </si>
  <si>
    <t>Increased system understanding + Understanding other perspectives + Raise awareness</t>
  </si>
  <si>
    <t>Increased system understanding + Understanding other perspectives + Establish experiential environment</t>
  </si>
  <si>
    <t>Increased system understanding + Understanding other perspectives + Establish experiential environment + Change in views</t>
  </si>
  <si>
    <t xml:space="preserve">Perspective mapping &amp; observations &amp; debriefs
Perspective mapping (pre &amp; during): Before or at the start of the session, players fill in the perspectives map.This information is used to form two coalitions (referred to as teams) of players with a relatively large agreement among their perspectives.
Observations (pre &amp; during): Mapping perspective changes of the coalitions was carried out in two different ways. In early sessions, it was carried out through observation of the discussions within and between coalitions. These statements were analyzed and depicted on a perspectives map by a project-team member during the game. In later sessions, participants were asked to reflect explicitly on the perspectives map themselves. 
Debrief (post): open, plenary discussion about what they liked, self-reflective questions on lessons learned
Longer version: 
Observations &amp; discussion (pre): perspective mapping based on Cultural Theory --&gt; In early sessions, it was carried out through observation of the discussions within and between coalitions. Statements were analyzed and depicted on a perspectives map by a project-team member during the gameIn later sessions, participants were asked to reflect explicitly on the perspectives map themselves.
Data logging/observations (during):
• Water management strategies: reactive or proactive strategies? + are these in line with perspectives mapped at start of the game?
• Perspective change: the conditions under which perspective change may occur (based on perspective mapping at the start and chosen interventions, or changing interventions from moment A to B)
• Coalition Dynamics: whether or not players changed their coalition (e.g. didnt agree with the direction taken and wanted to switch teams, which follow a different perspective)
Debriefings (post): A debriefing session follows to evaluate the game. The debriefing takes the form of an open, plenary discussion. </t>
  </si>
  <si>
    <t>Perspective mapping &amp; Observations &amp; Data logging &amp; Interviews
See table 1 in paper:
Perspective mapping (pre &amp; during): (1) initial perspective scoring table and updating this table during game play.
First, we determine whether social learning took place, by using the method of perspective change (Offermans, 2012; Van der Wal et al., 2014) of assessing and tracking perspectives of the teams during the game session using the Perspective Scoring Table.
Observations (during): (2) transcribed discussions to analyse why teams changed their perspectives
Data logging (during): (3) determine the relation between the model feedback and the perspective change by comparing the presented model feedback with the perspective changes made during the game
Interviews (post):
(4) transcribed interviews with participants to analyse and extract their perception of the credibility of model feedback and how they evaluate the model used in the game</t>
  </si>
  <si>
    <t>Perspective mapping &amp; Observations &amp; debriefs</t>
  </si>
  <si>
    <t>Perspective mapping &amp; Observations &amp; Data logging &amp; Interviews</t>
  </si>
  <si>
    <t>Perspective mapping</t>
  </si>
  <si>
    <t>Pre &amp; Post-post</t>
  </si>
  <si>
    <t>Pre &amp; Post-post
Evaluation 3 only: Questionnaire to elicit participant knowledge of and attitudes about climate change.
Participants had several days to complete the pre-test before their session, and several days afterwards to complete the post-test.</t>
  </si>
  <si>
    <t>Increased system understanding
Understanding other perspectives
Raise awareness</t>
  </si>
  <si>
    <t>Data logging &amp; questionnaires &amp; community-level data &amp; interviews
Game data (during): player choices, conversation notes
Questionnaire (post): participant characteristics, agricultural practices and trust-related questions
Community-level data (post-post): infrastructure, cropping patterns, trends in groundwater
"mental models” interviews (post-post): four groundwater irrigators per habitation (total 112 interviews), selected by the watershed association, who had not played the game, to see whether there had been any spill-over effects of the games on the understanding of groundwater dynamics and attitudes toward groundwater management in the communities where games had been played, by comparing the treatment sites with results from mental models interviews in the control sites where no games were played. Interviews included a 5-point Likert scale component (table 4)</t>
  </si>
  <si>
    <t>Raise awareness
Increased system understanding
Understanding other perspectives</t>
  </si>
  <si>
    <t>It was assessed whether the game worked, not really whether and how much players actually learned.
Also: researchers learning</t>
  </si>
  <si>
    <t>Our first findings show that participants learn more about the thinking processes of the different roles simulated, and about the difficulties and pitfalls of negotiation processes, than about ecological processes and biodiversity.
Results show that participants do not learn that much about ecological processes and biodiversity functioning but learn a lot about the thinking (process) associated with each game role and how to better interact with the stakeholders represented in the roles. After playing the game, participants say they would pay much greater attention to the consultation process, transparency requirements and anticipation aspects involved in multistakeholder coordination projects.
Our results in terms of types of knowledge learned show that NewDistrict participants learned most about interrelations between roles; which is different from most other role-playing games but similar to the ButorStar game. However, we also have found that learning about the others and how to deal with them, including how to communicate and negotiate, is actually the main learning experience in NewDistric application;</t>
  </si>
  <si>
    <t>Pre &amp; During &amp; Post &amp; Post-post
(1) monitoring the whole sequence of activities,
(2) individual assessment at the beginning and end of the RPG, using short written questionnaires (shortterm assessment or STA), --&gt; closed questionnaire
(3) collective debriefing at the end of the game sessions and --&gt; including a short questionnaire to assess their initial perception of the issue, their overall impression, their expectations, learning and level of satisfaction at the beginning and end of the session.
(4) individual assessments via semi-structured interviews 8 months after the end of the intervention (long-term assessment of LTA).</t>
  </si>
  <si>
    <t>Debriefs &amp; Interviews &amp; Observations
Debriefs (during &amp; post): 15-minute debrief after each turn
Final debrief (post): Co-analysis with players of all results after the session
Interviews (post): collect comments about the game
Observations (during): audio recordings of sessions
To evaluate FOWIS as a learning tool aimed at increasing stake-holders’ awareness of each others’ strategies, the analysis focusedon the players’ strategies. This entails understanding changes in quantitative features in the light of players’ behaviors. These 15 min debriefing sessions were useful because they enabled collectiveanalysis of the results, which is vital when explaining and com-paring viewpoints (Etienne, 2003). Finally the audio-recordings of the sessions were analyzed by the consulting sociologist, who was responsible for monitoring the players’ behaviors during the game sessions.</t>
  </si>
  <si>
    <t>During &amp; Post
Debriefs after each turn (during, but can also be seen as post)
Co-analysis with players of all results after the session (post)
Interviews, face-to-face with each participants (post)
Audio recordings of sessions (during)</t>
  </si>
  <si>
    <t>Observations &amp; Debriefs &amp; Interviews</t>
  </si>
  <si>
    <t>The analysis of learning revealed that the players did not learn much about water management.
The LTA revealed that learning had developed in terms of the relationship between sanitation infrastructure, the actual pollution of water sources and health.
In the LTA, they demonstrated an improved understanding of the link between urbanisation, land and water dynamics.
More people demonstrated relational learning. Several participants (either technicians or settlement representatives) mentioned learning about the relationships between issues and stakeholders, as well as a clearer understanding of other people’s positions.
In both cases, the main learning reported was about the process of negotiation.
The LTA revealed that the participants’ capacity to listen had improved.
Some participants reviewed their opinion of their own role and position in terms of the environmental issue. Thus, participation led to a shift in positions, beliefs and norms</t>
  </si>
  <si>
    <t>However short the policy exercise, we found proof for both cognitive and relational learning, even though the number of available observationswas too small to yield really hard evidence for the former,while evidence for the latterwas evenweaker. The greatest benefits of the exercisewere process-related, by providing insights into EU policy-making and the art of negotiation, aswell as the constraints that the various actors are operating under.
Given the role play character of the exercise, it is not surprising that much relational learning of participants concerned an improved understanding of the actor or country that they were representing in the exercise, as well as the diverging problem definitions and problem perceptions of the various actors.</t>
  </si>
  <si>
    <t>Participant feedback has indicated that the IDT is extremely effective at bringing diverse stakeholders together with different perspectives to engage in meaningful dialog and to achieve consensus decisions around drought preparedness in a competitive environment.
A number of participants have found the integrated approach to solving complex problems under uncertainty and assessment of trade-offs to be valuable, and the decisions and innovations developed by the teams to have real world applications. Participants liked the opportunity to think freely, propose their innovations and network. They also improved their understanding o fdrought impacts and had increased sensitivity to the complexity of, and issues associated with, enhancing drought resilience.
Ninety-six percent of participants at the Okanagan IDT either strongly agreed or agreed that the IDT was a good learning experience and 77% (i.e. 20 of 25 respondents) felt they learned a lot about water management issues from the tournament.</t>
  </si>
  <si>
    <t>We find that players significantly change their beliefs about international climate politics in the following ways: they become more confident in the potential for politics to mitigate climate change, become more optimistic about effective international cooperation on climate change, and perceive themselves as more responsible for climate change mitigation. Interestingly, players do not transfer their in-game decisions directly to their beliefs about international climate politics. Instead, players testing non-cooperative decisions within the game become more optimistic about international cooperation in climate politics—highlighting experiential learning as a central asset of climate change games.
We find, first, that players indeed change their beliefs about international climate politics. After playing the game, respondents report significantly more confidence in the potential for climate politics, more optimism about international cooperation on dealing with climate change, and a higher personal responsibility. Second, changes in beliefs relate to players’ in-game decisions in a non-trivial way. Our analysis shows that students playing KEEP COOL in a more noncooperative way tend to become more skeptical about politicians solving the problem, but become more optimistic about an effective international climate agreement. These findings support the potential of simulation games for experiential learning in the context of climate change.
Questionnaire: We find that playing KEEP COOL significantly affects the sense of personal responsibility for climate change positively (responsibility), confirming Hypotheses H1.1. This is probably caused by higher problem awareness, for instance due to experiencing climate change impacts in the game. Also, the expectation of effective cooperation in international climate politics (intercoop) increases (Hypothesis H1.3). Thus, experiencing the complex dynamics of international climate politics does not prevent players from becoming more optimistic regarding the evolution of an international climate regime. Likewise, the perception that politics cannot do anything against climate change (pessimism) is significantly lowered by gaming (Hypothesis H1.4). Stepping in the shoes of country group’s leaders, players learn the option space global climate politics has. There is no significant effect for confidence in politicians (polconfidence, Hypothesis H1.2).
Observations: The analysis reveals a significant negative impact of players’ decisions to raise their own emissions in the game (black) on the probability to believe politicians will do everything necessary to stop climate change (polconfidence, models 1–3). This supports the hypothesis that less cooperative in-game behavior makes players less optimistic about climate politics (Hypothesis 2.1). Players trying out non-cooperative decisions might have experienced the structures and incentives hindering global cooperation. Following this interpretation, KEEP COOL facilitates experiential learning about the obstacles to international climate treaty making. In contrast, players’ expectation on an effective international climate agreement (intercoop) is positively related to raising own emissions (models 4–6). One reason might be that noncooperative players have experienced the impacts of unmitigated climate change in the game, thereby getting insights into the shortcomings of voluntary action. Hence, players cooperating less in the game might become convinced of the necessity of a global environmental agreement in order to prevent dangerous climate change like they experienced in game. Hypothesis 2.2 is also supported by the significantly negative relation of polconfidence to green (models 2, 3). Players with more carbon neutral technologies in the game become less optimistic that politicians will sufficiently act. Thus, players deciding more cooperatively are
not naïve in assuming real-world politicians will act the same.</t>
  </si>
  <si>
    <t>Because of the complexity of management problems, results of jointly constructing the game and the RPG sessions showed that modelling and simulation can be a very useful way of accompanying the collective learning process. This new way of working was welcomed by the participants who expressed their interest inorganizing further RPG sessions.
Above all, the RPG sessions provided an opportunity for the players to see the collective consequences of their individual decisions, to share their knowledge, their ideas and their vision of the problem in order to test different strategies to reduce runoff and associated damage. During the two RPG sessions and associated debriefing sessions, participants improved their capacity to understand their role and to act in a complex situation.
According to the watershed advisors, the game contributed considerable self-knowledge and improved the way they work with others.</t>
  </si>
  <si>
    <t>Increased system understanding
Raise awareness</t>
  </si>
  <si>
    <t>The results regarding the MHT’s ability to inform problem-solving show that while the MHT may have not led directly to decision-making, the inclusion of the IoWaDSS enabled players to better understand the trade-offs between adaptation options. Participants also gained familiarity with the range of watershed and localized investments that could be made to reduce their risk to flood, drought, and water quality hazards. These results verify that the Cedar Rapids MHT did achieve two objectives of the tournament, which as stated in Section 3.2 were to:
• Increase the participants’ awareness of credible strategic policies and investments to reduce drought, flood, andwater quality risks in the Middle Cedar River basin;
• To build a greater joint understanding of the potential impacts and externalities that would result from investments in mitigation options being considered in the basin under different climate conditions;
The survey results show that the greatest benefit of the MHT can be attributed to learning about other stakeholders’ perspectives as well as learning of the availability of potential opportunities for future partnerships; thus showing that the MHT is effective in helping to meet the collaborative watershed approach challenges of enabling social learning and relationship building.
The MHT survey results clearly indicate that this MHT process met the third objective set forth for the tournament which was ‘to build relationships and potential partnerships between stakeholders’ through its ability to foster networking opportunities between a diverse group of stakeholders.
Over half of the participants who completed the threemonth follow-on survey indicated that they were pursuing potential projects with stakeholders from the tournament who they had not previously worked with before.
Overall, we conclude that this MHT approach to collaborative watershed management was a useful mechanism to facilitate social learning and relationship building in the water resources management sector. Further refinement of MHT as problem-solving and decision-making tool can enable stakeholders to gain a better understanding of other basin stakeholders’ interests as well as associated costs and trade-offs of adaptation options required for watershed management for hazard mitigation and planning in a changing climate.</t>
  </si>
  <si>
    <t>Our findings from these two projects provide strong evidence that participation in RPSs can increase readiness to adapt by cultivating literacy about climate change adaptation, enhancing collaborative capacity, and facilitating social learning.
Our results also suggest that RPSs can help lay the foundation for collaborative risk management by highlighting the interdependency of stakeholders, increasing empathy for different perspectives, building support for collaborative decision-making, and introducing complementary tools and approaches. 
Our experience with NECAP strongly suggests that engaging diverse groups of stakeholders through RPSs creates a powerful forum for social learning.
More than half of NECAP interviewees showed significant signs of increased empathy and appreciation for other viewpoints as a result of their participation in the exercise. Interview findings suggest there were two main reasons for this. First, the simulation pushed participants to take on another role and engage with issues from a different perspective. Second, the simulation created a safe space for participants to openly engage with other stakeholders’ viewpoints. People commonly said it was very eye opening to ‘walk in someone else’s shoes’.</t>
  </si>
  <si>
    <t>Observations &amp; interviews &amp; debriefs</t>
  </si>
  <si>
    <t>Observations &amp; interviews &amp; debriefs
This discussion of the findings is based on observations at Game sessions, participant feedback at debrief sessions and interviews of participants.
Observations (during): unstructured
Debrief (post): transcribed and evaluated for; the effect of the Game on decision behaviour during the game, the net effect after the Game and its utility for use with DAPP for decision making in different domains. Participants provided qualitative feedback on a set of questions following reflection on the Game.
Interviews (post)</t>
  </si>
  <si>
    <t>During &amp; Post
Observations (during): unstructured
Debrief (post): transcribed and evaluated for; the effect of the Game on decision behaviour during the game, the net effect after the Game and its utility for use with DAPP for decision making in different domains. Participants provided qualitative feedback on a set of questions following reflection on the Game.
Interviews (post)</t>
  </si>
  <si>
    <t>Year of publication</t>
  </si>
  <si>
    <t># of publications</t>
  </si>
  <si>
    <t>Database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</si>
</sst>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theme="1"/>
      <name val="Calibri"/>
      <family val="2"/>
      <scheme val="minor"/>
    </font>
    <font>
      <b/>
      <sz val="9"/>
      <color theme="1"/>
      <name val="Calibri"/>
      <family val="2"/>
      <scheme val="minor"/>
    </font>
    <font>
      <sz val="9"/>
      <color theme="1"/>
      <name val="Calibri"/>
      <family val="2"/>
      <scheme val="minor"/>
    </font>
    <font>
      <b/>
      <sz val="11"/>
      <color theme="1"/>
      <name val="Calibri"/>
      <family val="2"/>
      <scheme val="minor"/>
    </font>
  </fonts>
  <fills count="2">
    <fill>
      <patternFill patternType="none"/>
    </fill>
    <fill>
      <patternFill patternType="gray125"/>
    </fill>
  </fills>
  <borders count="24">
    <border>
      <left/>
      <right/>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right/>
      <top style="medium">
        <color indexed="64"/>
      </top>
      <bottom/>
      <diagonal/>
    </border>
    <border>
      <left/>
      <right/>
      <top/>
      <bottom style="medium">
        <color indexed="64"/>
      </bottom>
      <diagonal/>
    </border>
    <border>
      <left style="medium">
        <color indexed="64"/>
      </left>
      <right/>
      <top/>
      <bottom/>
      <diagonal/>
    </border>
    <border>
      <left/>
      <right style="medium">
        <color indexed="64"/>
      </right>
      <top/>
      <bottom/>
      <diagonal/>
    </border>
    <border>
      <left style="medium">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s>
  <cellStyleXfs count="1">
    <xf numFmtId="0" fontId="0" fillId="0" borderId="0"/>
  </cellStyleXfs>
  <cellXfs count="88">
    <xf numFmtId="0" fontId="0" fillId="0" borderId="0" xfId="0"/>
    <xf numFmtId="0" fontId="0" fillId="0" borderId="8" xfId="0" applyBorder="1"/>
    <xf numFmtId="0" fontId="0" fillId="0" borderId="9" xfId="0" applyBorder="1"/>
    <xf numFmtId="0" fontId="2" fillId="0" borderId="3" xfId="0" applyFont="1" applyBorder="1" applyAlignment="1">
      <alignment vertical="center" wrapText="1"/>
    </xf>
    <xf numFmtId="0" fontId="2" fillId="0" borderId="3" xfId="0" applyFont="1" applyBorder="1" applyAlignment="1">
      <alignment horizontal="left" vertical="center" wrapText="1"/>
    </xf>
    <xf numFmtId="0" fontId="2" fillId="0" borderId="3" xfId="0" applyFont="1" applyBorder="1" applyAlignment="1">
      <alignment horizontal="left" vertical="center" textRotation="180" wrapText="1"/>
    </xf>
    <xf numFmtId="0" fontId="2" fillId="0" borderId="4" xfId="0" applyFont="1" applyBorder="1"/>
    <xf numFmtId="0" fontId="2" fillId="0" borderId="0" xfId="0" applyFont="1" applyAlignment="1">
      <alignment vertical="top" wrapText="1"/>
    </xf>
    <xf numFmtId="0" fontId="2" fillId="0" borderId="9" xfId="0" applyFont="1" applyBorder="1" applyAlignment="1">
      <alignment vertical="top"/>
    </xf>
    <xf numFmtId="0" fontId="2" fillId="0" borderId="9" xfId="0" applyFont="1" applyFill="1" applyBorder="1" applyAlignment="1">
      <alignment vertical="top"/>
    </xf>
    <xf numFmtId="0" fontId="1" fillId="0" borderId="2" xfId="0" applyFont="1" applyBorder="1" applyAlignment="1">
      <alignment vertical="center"/>
    </xf>
    <xf numFmtId="0" fontId="2" fillId="0" borderId="0" xfId="0" applyFont="1" applyBorder="1" applyAlignment="1">
      <alignment horizontal="center" vertical="top"/>
    </xf>
    <xf numFmtId="0" fontId="0" fillId="0" borderId="0" xfId="0" applyBorder="1" applyAlignment="1">
      <alignment horizontal="center" vertical="top"/>
    </xf>
    <xf numFmtId="0" fontId="1" fillId="0" borderId="11" xfId="0" applyFont="1" applyBorder="1" applyAlignment="1">
      <alignment vertical="center"/>
    </xf>
    <xf numFmtId="0" fontId="2" fillId="0" borderId="1" xfId="0" applyFont="1" applyBorder="1" applyAlignment="1">
      <alignment horizontal="center" vertical="center"/>
    </xf>
    <xf numFmtId="0" fontId="1" fillId="0" borderId="1" xfId="0" applyFont="1" applyBorder="1" applyAlignment="1">
      <alignment vertical="center"/>
    </xf>
    <xf numFmtId="0" fontId="0" fillId="0" borderId="7" xfId="0" applyBorder="1" applyAlignment="1">
      <alignment vertical="center"/>
    </xf>
    <xf numFmtId="0" fontId="2" fillId="0" borderId="0" xfId="0" applyFont="1" applyBorder="1" applyAlignment="1">
      <alignment horizontal="center" vertical="top" wrapText="1"/>
    </xf>
    <xf numFmtId="0" fontId="1" fillId="0" borderId="1" xfId="0" applyFont="1" applyBorder="1" applyAlignment="1">
      <alignment horizontal="center" vertical="center"/>
    </xf>
    <xf numFmtId="0" fontId="2" fillId="0" borderId="7" xfId="0" applyFont="1" applyBorder="1" applyAlignment="1">
      <alignment vertical="top" wrapText="1"/>
    </xf>
    <xf numFmtId="0" fontId="2" fillId="0" borderId="8" xfId="0" applyFont="1" applyBorder="1" applyAlignment="1">
      <alignment vertical="top" wrapText="1"/>
    </xf>
    <xf numFmtId="0" fontId="2" fillId="0" borderId="0" xfId="0" applyFont="1" applyAlignment="1">
      <alignment vertical="top"/>
    </xf>
    <xf numFmtId="0" fontId="3" fillId="0" borderId="9" xfId="0" applyFont="1" applyBorder="1"/>
    <xf numFmtId="0" fontId="3" fillId="0" borderId="0" xfId="0" applyFont="1" applyBorder="1" applyAlignment="1">
      <alignment horizontal="center" vertical="top"/>
    </xf>
    <xf numFmtId="0" fontId="3" fillId="0" borderId="12" xfId="0" applyFont="1" applyBorder="1" applyAlignment="1">
      <alignment horizontal="center" vertical="top"/>
    </xf>
    <xf numFmtId="0" fontId="3" fillId="0" borderId="0" xfId="0" applyFont="1"/>
    <xf numFmtId="0" fontId="1" fillId="0" borderId="0" xfId="0" applyFont="1" applyAlignment="1">
      <alignment vertical="top" wrapText="1"/>
    </xf>
    <xf numFmtId="0" fontId="1" fillId="0" borderId="13" xfId="0" applyFont="1" applyBorder="1" applyAlignment="1">
      <alignment vertical="center"/>
    </xf>
    <xf numFmtId="0" fontId="2" fillId="0" borderId="15" xfId="0" applyFont="1" applyBorder="1" applyAlignment="1">
      <alignment vertical="top"/>
    </xf>
    <xf numFmtId="0" fontId="2" fillId="0" borderId="17" xfId="0" applyFont="1" applyBorder="1" applyAlignment="1">
      <alignment vertical="top"/>
    </xf>
    <xf numFmtId="0" fontId="2" fillId="0" borderId="0" xfId="0" applyFont="1" applyBorder="1" applyAlignment="1">
      <alignment vertical="top" wrapText="1"/>
    </xf>
    <xf numFmtId="0" fontId="2" fillId="0" borderId="10" xfId="0" applyFont="1" applyBorder="1" applyAlignment="1">
      <alignment vertical="top" wrapText="1"/>
    </xf>
    <xf numFmtId="0" fontId="1" fillId="0" borderId="9" xfId="0" applyFont="1" applyBorder="1" applyAlignment="1">
      <alignment vertical="top"/>
    </xf>
    <xf numFmtId="0" fontId="1" fillId="0" borderId="0" xfId="0" applyFont="1" applyBorder="1" applyAlignment="1">
      <alignment vertical="top" wrapText="1"/>
    </xf>
    <xf numFmtId="0" fontId="2" fillId="0" borderId="16" xfId="0" applyFont="1" applyBorder="1" applyAlignment="1">
      <alignment vertical="top" wrapText="1"/>
    </xf>
    <xf numFmtId="0" fontId="2" fillId="0" borderId="18" xfId="0" applyFont="1" applyBorder="1" applyAlignment="1">
      <alignment vertical="top" wrapText="1"/>
    </xf>
    <xf numFmtId="0" fontId="1" fillId="0" borderId="10" xfId="0" applyFont="1" applyBorder="1" applyAlignment="1">
      <alignment vertical="top" wrapText="1"/>
    </xf>
    <xf numFmtId="49" fontId="3" fillId="0" borderId="0" xfId="0" applyNumberFormat="1" applyFont="1"/>
    <xf numFmtId="0" fontId="0" fillId="0" borderId="0" xfId="0" applyBorder="1"/>
    <xf numFmtId="0" fontId="2" fillId="0" borderId="0" xfId="0" applyFont="1" applyBorder="1" applyAlignment="1">
      <alignment vertical="top"/>
    </xf>
    <xf numFmtId="49" fontId="1" fillId="0" borderId="0" xfId="0" applyNumberFormat="1" applyFont="1" applyAlignment="1">
      <alignment vertical="top" wrapText="1"/>
    </xf>
    <xf numFmtId="0" fontId="0" fillId="0" borderId="10" xfId="0" applyBorder="1"/>
    <xf numFmtId="0" fontId="1" fillId="0" borderId="5" xfId="0" applyFont="1" applyBorder="1" applyAlignment="1">
      <alignment vertical="center"/>
    </xf>
    <xf numFmtId="0" fontId="1" fillId="0" borderId="13" xfId="0" applyFont="1" applyBorder="1" applyAlignment="1">
      <alignment horizontal="center" vertical="center"/>
    </xf>
    <xf numFmtId="0" fontId="2" fillId="0" borderId="6" xfId="0" applyFont="1" applyBorder="1" applyAlignment="1">
      <alignment horizontal="left" vertical="center" wrapText="1"/>
    </xf>
    <xf numFmtId="0" fontId="1" fillId="0" borderId="19" xfId="0" applyFont="1" applyBorder="1" applyAlignment="1">
      <alignment vertical="center"/>
    </xf>
    <xf numFmtId="0" fontId="2" fillId="0" borderId="20" xfId="0" applyFont="1" applyBorder="1" applyAlignment="1">
      <alignment horizontal="left" vertical="center" wrapText="1"/>
    </xf>
    <xf numFmtId="0" fontId="2" fillId="0" borderId="21" xfId="0" applyFont="1" applyBorder="1" applyAlignment="1">
      <alignment vertical="center"/>
    </xf>
    <xf numFmtId="0" fontId="2" fillId="0" borderId="3" xfId="0" applyFont="1" applyBorder="1" applyAlignment="1">
      <alignment horizontal="center" vertical="top"/>
    </xf>
    <xf numFmtId="0" fontId="2" fillId="0" borderId="3" xfId="0" applyFont="1" applyBorder="1" applyAlignment="1">
      <alignment horizontal="center" vertical="top" wrapText="1"/>
    </xf>
    <xf numFmtId="0" fontId="2" fillId="0" borderId="14" xfId="0" applyFont="1" applyBorder="1" applyAlignment="1">
      <alignment horizontal="center" vertical="top"/>
    </xf>
    <xf numFmtId="0" fontId="2" fillId="0" borderId="19" xfId="0" applyFont="1" applyBorder="1" applyAlignment="1">
      <alignment vertical="center"/>
    </xf>
    <xf numFmtId="0" fontId="3" fillId="0" borderId="10" xfId="0" applyFont="1" applyBorder="1"/>
    <xf numFmtId="49" fontId="2" fillId="0" borderId="0" xfId="0" applyNumberFormat="1" applyFont="1" applyBorder="1" applyAlignment="1">
      <alignment vertical="top" wrapText="1"/>
    </xf>
    <xf numFmtId="0" fontId="2" fillId="0" borderId="17" xfId="0" applyFont="1" applyFill="1" applyBorder="1" applyAlignment="1">
      <alignment vertical="top"/>
    </xf>
    <xf numFmtId="0" fontId="2" fillId="0" borderId="8" xfId="0" applyFont="1" applyBorder="1" applyAlignment="1">
      <alignment horizontal="center" vertical="top"/>
    </xf>
    <xf numFmtId="0" fontId="2" fillId="0" borderId="8" xfId="0" applyFont="1" applyBorder="1" applyAlignment="1">
      <alignment horizontal="center" vertical="top" wrapText="1"/>
    </xf>
    <xf numFmtId="0" fontId="2" fillId="0" borderId="9" xfId="0" applyFont="1" applyBorder="1" applyAlignment="1">
      <alignment vertical="top" wrapText="1"/>
    </xf>
    <xf numFmtId="0" fontId="3" fillId="0" borderId="0" xfId="0" applyFont="1" applyAlignment="1">
      <alignment wrapText="1"/>
    </xf>
    <xf numFmtId="0" fontId="3" fillId="0" borderId="0" xfId="0" applyFont="1" applyAlignment="1">
      <alignment horizontal="left"/>
    </xf>
    <xf numFmtId="0" fontId="0" fillId="0" borderId="0" xfId="0" applyAlignment="1">
      <alignment wrapText="1"/>
    </xf>
    <xf numFmtId="0" fontId="0" fillId="0" borderId="0" xfId="0" applyAlignment="1">
      <alignment horizontal="left"/>
    </xf>
    <xf numFmtId="0" fontId="2" fillId="0" borderId="0" xfId="0" applyFont="1" applyFill="1" applyBorder="1" applyAlignment="1">
      <alignment vertical="top" wrapText="1"/>
    </xf>
    <xf numFmtId="0" fontId="2" fillId="0" borderId="14" xfId="0" applyFont="1" applyBorder="1" applyAlignment="1">
      <alignment vertical="center" wrapText="1"/>
    </xf>
    <xf numFmtId="0" fontId="2" fillId="0" borderId="21" xfId="0" applyFont="1" applyBorder="1" applyAlignment="1">
      <alignment horizontal="left" vertical="center" textRotation="180" wrapText="1"/>
    </xf>
    <xf numFmtId="0" fontId="2" fillId="0" borderId="17" xfId="0" applyFont="1" applyBorder="1" applyAlignment="1">
      <alignment vertical="top" wrapText="1"/>
    </xf>
    <xf numFmtId="0" fontId="2" fillId="0" borderId="4" xfId="0" applyFont="1" applyBorder="1" applyAlignment="1">
      <alignment vertical="center" wrapText="1"/>
    </xf>
    <xf numFmtId="0" fontId="1" fillId="0" borderId="9" xfId="0" applyFont="1" applyFill="1" applyBorder="1" applyAlignment="1">
      <alignment vertical="top"/>
    </xf>
    <xf numFmtId="0" fontId="1" fillId="0" borderId="0" xfId="0" applyFont="1" applyBorder="1" applyAlignment="1">
      <alignment horizontal="center" vertical="top"/>
    </xf>
    <xf numFmtId="0" fontId="1" fillId="0" borderId="0" xfId="0" applyFont="1" applyBorder="1" applyAlignment="1">
      <alignment horizontal="center" vertical="top" wrapText="1"/>
    </xf>
    <xf numFmtId="0" fontId="2" fillId="0" borderId="10" xfId="0" applyFont="1" applyBorder="1" applyAlignment="1">
      <alignment horizontal="center" vertical="top"/>
    </xf>
    <xf numFmtId="0" fontId="2" fillId="0" borderId="18" xfId="0" applyFont="1" applyBorder="1" applyAlignment="1">
      <alignment horizontal="center" vertical="top"/>
    </xf>
    <xf numFmtId="0" fontId="1" fillId="0" borderId="22" xfId="0" applyFont="1" applyBorder="1"/>
    <xf numFmtId="0" fontId="1" fillId="0" borderId="23" xfId="0" applyFont="1" applyBorder="1"/>
    <xf numFmtId="0" fontId="2" fillId="0" borderId="0" xfId="0" applyFont="1"/>
    <xf numFmtId="0" fontId="1" fillId="0" borderId="0" xfId="0" applyFont="1"/>
    <xf numFmtId="0" fontId="1" fillId="0" borderId="15" xfId="0" applyFont="1" applyBorder="1" applyAlignment="1">
      <alignment vertical="center"/>
    </xf>
    <xf numFmtId="0" fontId="2" fillId="0" borderId="7" xfId="0" applyFont="1" applyBorder="1"/>
    <xf numFmtId="0" fontId="2" fillId="0" borderId="16" xfId="0" applyFont="1" applyBorder="1"/>
    <xf numFmtId="0" fontId="2" fillId="0" borderId="17" xfId="0" applyFont="1" applyBorder="1" applyAlignment="1">
      <alignment vertical="center"/>
    </xf>
    <xf numFmtId="0" fontId="2" fillId="0" borderId="8" xfId="0" applyFont="1" applyBorder="1"/>
    <xf numFmtId="0" fontId="2" fillId="0" borderId="18" xfId="0" applyFont="1" applyBorder="1"/>
    <xf numFmtId="0" fontId="2" fillId="0" borderId="16" xfId="0" applyFont="1" applyBorder="1" applyAlignment="1">
      <alignment horizontal="center" vertical="center"/>
    </xf>
    <xf numFmtId="0" fontId="2" fillId="0" borderId="18" xfId="0" applyFont="1" applyBorder="1" applyAlignment="1">
      <alignment horizontal="center" vertical="center"/>
    </xf>
    <xf numFmtId="0" fontId="2" fillId="0" borderId="17" xfId="0" applyFont="1" applyBorder="1"/>
    <xf numFmtId="0" fontId="2" fillId="0" borderId="9" xfId="0" applyFont="1" applyBorder="1"/>
    <xf numFmtId="0" fontId="2" fillId="0" borderId="0" xfId="0" applyFont="1" applyBorder="1"/>
    <xf numFmtId="0" fontId="2" fillId="0" borderId="10" xfId="0" applyFont="1" applyBorder="1"/>
  </cellXfs>
  <cellStyles count="1">
    <cellStyle name="Normal" xfId="0" builtinId="0"/>
  </cellStyles>
  <dxfs count="62">
    <dxf>
      <fill>
        <patternFill>
          <bgColor rgb="FFFF5050"/>
        </patternFill>
      </fill>
    </dxf>
    <dxf>
      <fill>
        <patternFill>
          <bgColor theme="9" tint="0.39994506668294322"/>
        </patternFill>
      </fill>
    </dxf>
    <dxf>
      <fill>
        <patternFill>
          <bgColor theme="9" tint="0.39994506668294322"/>
        </patternFill>
      </fill>
    </dxf>
    <dxf>
      <fill>
        <patternFill>
          <bgColor rgb="FFFF6565"/>
        </patternFill>
      </fill>
    </dxf>
    <dxf>
      <fill>
        <patternFill>
          <bgColor theme="4" tint="0.59996337778862885"/>
        </patternFill>
      </fill>
    </dxf>
    <dxf>
      <fill>
        <patternFill>
          <bgColor theme="7" tint="0.59996337778862885"/>
        </patternFill>
      </fill>
    </dxf>
    <dxf>
      <fill>
        <patternFill>
          <bgColor rgb="FFCDACE6"/>
        </patternFill>
      </fill>
    </dxf>
    <dxf>
      <fill>
        <patternFill>
          <bgColor theme="4" tint="0.59996337778862885"/>
        </patternFill>
      </fill>
    </dxf>
    <dxf>
      <fill>
        <patternFill>
          <bgColor theme="7" tint="0.59996337778862885"/>
        </patternFill>
      </fill>
    </dxf>
    <dxf>
      <fill>
        <patternFill>
          <bgColor rgb="FFCDACE6"/>
        </patternFill>
      </fill>
    </dxf>
    <dxf>
      <fill>
        <patternFill>
          <bgColor theme="4" tint="0.59996337778862885"/>
        </patternFill>
      </fill>
    </dxf>
    <dxf>
      <fill>
        <patternFill>
          <bgColor theme="7" tint="0.59996337778862885"/>
        </patternFill>
      </fill>
    </dxf>
    <dxf>
      <fill>
        <patternFill>
          <bgColor rgb="FFCDACE6"/>
        </patternFill>
      </fill>
    </dxf>
    <dxf>
      <fill>
        <patternFill>
          <bgColor theme="4" tint="0.59996337778862885"/>
        </patternFill>
      </fill>
    </dxf>
    <dxf>
      <fill>
        <patternFill>
          <bgColor theme="7" tint="0.59996337778862885"/>
        </patternFill>
      </fill>
    </dxf>
    <dxf>
      <fill>
        <patternFill>
          <bgColor rgb="FFCDACE6"/>
        </patternFill>
      </fill>
    </dxf>
    <dxf>
      <fill>
        <patternFill>
          <bgColor theme="9" tint="0.39994506668294322"/>
        </patternFill>
      </fill>
    </dxf>
    <dxf>
      <fill>
        <patternFill>
          <bgColor rgb="FFFF6565"/>
        </patternFill>
      </fill>
    </dxf>
    <dxf>
      <fill>
        <patternFill>
          <bgColor theme="7" tint="0.39994506668294322"/>
        </patternFill>
      </fill>
    </dxf>
    <dxf>
      <fill>
        <patternFill>
          <bgColor theme="9" tint="0.39994506668294322"/>
        </patternFill>
      </fill>
    </dxf>
    <dxf>
      <fill>
        <patternFill>
          <bgColor theme="8" tint="0.39994506668294322"/>
        </patternFill>
      </fill>
    </dxf>
    <dxf>
      <fill>
        <patternFill>
          <bgColor theme="3" tint="0.39994506668294322"/>
        </patternFill>
      </fill>
    </dxf>
    <dxf>
      <fill>
        <patternFill>
          <bgColor theme="6" tint="0.39994506668294322"/>
        </patternFill>
      </fill>
    </dxf>
    <dxf>
      <fill>
        <patternFill>
          <bgColor rgb="FFC39BE1"/>
        </patternFill>
      </fill>
    </dxf>
    <dxf>
      <fill>
        <patternFill>
          <bgColor rgb="FFFF8F8F"/>
        </patternFill>
      </fill>
    </dxf>
    <dxf>
      <fill>
        <patternFill>
          <bgColor theme="8" tint="0.39994506668294322"/>
        </patternFill>
      </fill>
    </dxf>
    <dxf>
      <fill>
        <patternFill>
          <bgColor theme="3" tint="0.39994506668294322"/>
        </patternFill>
      </fill>
    </dxf>
    <dxf>
      <fill>
        <patternFill>
          <bgColor theme="6" tint="0.39994506668294322"/>
        </patternFill>
      </fill>
    </dxf>
    <dxf>
      <fill>
        <patternFill>
          <bgColor rgb="FFC39BE1"/>
        </patternFill>
      </fill>
    </dxf>
    <dxf>
      <fill>
        <patternFill>
          <bgColor rgb="FFFF8F8F"/>
        </patternFill>
      </fill>
    </dxf>
    <dxf>
      <fill>
        <patternFill>
          <bgColor theme="7" tint="0.39994506668294322"/>
        </patternFill>
      </fill>
    </dxf>
    <dxf>
      <fill>
        <patternFill>
          <bgColor theme="9" tint="0.39994506668294322"/>
        </patternFill>
      </fill>
    </dxf>
    <dxf>
      <fill>
        <patternFill>
          <bgColor theme="8" tint="0.39994506668294322"/>
        </patternFill>
      </fill>
    </dxf>
    <dxf>
      <fill>
        <patternFill>
          <bgColor theme="3" tint="0.39994506668294322"/>
        </patternFill>
      </fill>
    </dxf>
    <dxf>
      <fill>
        <patternFill>
          <bgColor theme="6" tint="0.39994506668294322"/>
        </patternFill>
      </fill>
    </dxf>
    <dxf>
      <fill>
        <patternFill>
          <bgColor rgb="FFC39BE1"/>
        </patternFill>
      </fill>
    </dxf>
    <dxf>
      <fill>
        <patternFill>
          <bgColor rgb="FFFF8F8F"/>
        </patternFill>
      </fill>
    </dxf>
    <dxf>
      <fill>
        <patternFill>
          <bgColor theme="7" tint="0.39994506668294322"/>
        </patternFill>
      </fill>
    </dxf>
    <dxf>
      <fill>
        <patternFill>
          <bgColor theme="9" tint="0.39994506668294322"/>
        </patternFill>
      </fill>
    </dxf>
    <dxf>
      <fill>
        <patternFill>
          <bgColor theme="8" tint="0.39994506668294322"/>
        </patternFill>
      </fill>
    </dxf>
    <dxf>
      <fill>
        <patternFill>
          <bgColor theme="3" tint="0.39994506668294322"/>
        </patternFill>
      </fill>
    </dxf>
    <dxf>
      <fill>
        <patternFill>
          <bgColor theme="6" tint="0.39994506668294322"/>
        </patternFill>
      </fill>
    </dxf>
    <dxf>
      <fill>
        <patternFill>
          <bgColor rgb="FFC39BE1"/>
        </patternFill>
      </fill>
    </dxf>
    <dxf>
      <fill>
        <patternFill>
          <bgColor rgb="FFFF8F8F"/>
        </patternFill>
      </fill>
    </dxf>
    <dxf>
      <fill>
        <patternFill>
          <bgColor theme="7" tint="0.39994506668294322"/>
        </patternFill>
      </fill>
    </dxf>
    <dxf>
      <fill>
        <patternFill>
          <bgColor theme="9" tint="0.39994506668294322"/>
        </patternFill>
      </fill>
    </dxf>
    <dxf>
      <fill>
        <patternFill>
          <bgColor theme="8" tint="0.39994506668294322"/>
        </patternFill>
      </fill>
    </dxf>
    <dxf>
      <fill>
        <patternFill>
          <bgColor theme="3" tint="0.39994506668294322"/>
        </patternFill>
      </fill>
    </dxf>
    <dxf>
      <fill>
        <patternFill>
          <bgColor theme="6" tint="0.39994506668294322"/>
        </patternFill>
      </fill>
    </dxf>
    <dxf>
      <fill>
        <patternFill>
          <bgColor rgb="FFC39BE1"/>
        </patternFill>
      </fill>
    </dxf>
    <dxf>
      <fill>
        <patternFill>
          <bgColor rgb="FFFF8F8F"/>
        </patternFill>
      </fill>
    </dxf>
    <dxf>
      <fill>
        <patternFill>
          <bgColor theme="7" tint="0.39994506668294322"/>
        </patternFill>
      </fill>
    </dxf>
    <dxf>
      <fill>
        <patternFill>
          <bgColor theme="9" tint="0.39994506668294322"/>
        </patternFill>
      </fill>
    </dxf>
    <dxf>
      <fill>
        <patternFill>
          <bgColor theme="8" tint="0.39994506668294322"/>
        </patternFill>
      </fill>
    </dxf>
    <dxf>
      <fill>
        <patternFill>
          <bgColor theme="3" tint="0.39994506668294322"/>
        </patternFill>
      </fill>
    </dxf>
    <dxf>
      <fill>
        <patternFill>
          <bgColor theme="6" tint="0.39994506668294322"/>
        </patternFill>
      </fill>
    </dxf>
    <dxf>
      <fill>
        <patternFill>
          <bgColor rgb="FFC39BE1"/>
        </patternFill>
      </fill>
    </dxf>
    <dxf>
      <fill>
        <patternFill>
          <bgColor rgb="FFFF8F8F"/>
        </patternFill>
      </fill>
    </dxf>
    <dxf>
      <fill>
        <patternFill>
          <bgColor theme="7" tint="0.39994506668294322"/>
        </patternFill>
      </fill>
    </dxf>
    <dxf>
      <fill>
        <patternFill>
          <bgColor theme="9" tint="0.39994506668294322"/>
        </patternFill>
      </fill>
    </dxf>
    <dxf>
      <fill>
        <patternFill>
          <bgColor rgb="FFFF5050"/>
        </patternFill>
      </fill>
    </dxf>
    <dxf>
      <fill>
        <patternFill>
          <bgColor theme="9" tint="0.39994506668294322"/>
        </patternFill>
      </fill>
    </dxf>
  </dxfs>
  <tableStyles count="0" defaultTableStyle="TableStyleMedium2" defaultPivotStyle="PivotStyleLight16"/>
  <colors>
    <mruColors>
      <color rgb="FFCDACE6"/>
      <color rgb="FFFF8F8F"/>
      <color rgb="FFC39BE1"/>
      <color rgb="FFA568D2"/>
      <color rgb="FFFF5050"/>
      <color rgb="FFFF6565"/>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Publications</a:t>
            </a:r>
            <a:r>
              <a:rPr lang="en-US" baseline="0"/>
              <a:t> in review by publication year</a:t>
            </a:r>
            <a:endParaRPr lang="en-US"/>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nl-NL"/>
        </a:p>
      </c:txPr>
    </c:title>
    <c:autoTitleDeleted val="0"/>
    <c:plotArea>
      <c:layout/>
      <c:barChart>
        <c:barDir val="col"/>
        <c:grouping val="clustered"/>
        <c:varyColors val="0"/>
        <c:ser>
          <c:idx val="0"/>
          <c:order val="0"/>
          <c:spPr>
            <a:solidFill>
              <a:schemeClr val="accent1"/>
            </a:solidFill>
            <a:ln>
              <a:noFill/>
            </a:ln>
            <a:effectLst/>
          </c:spPr>
          <c:invertIfNegative val="0"/>
          <c:cat>
            <c:numRef>
              <c:f>Overview!$G$19:$G$30</c:f>
              <c:numCache>
                <c:formatCode>General</c:formatCode>
                <c:ptCount val="12"/>
                <c:pt idx="0">
                  <c:v>2007</c:v>
                </c:pt>
                <c:pt idx="1">
                  <c:v>2008</c:v>
                </c:pt>
                <c:pt idx="2">
                  <c:v>2009</c:v>
                </c:pt>
                <c:pt idx="3">
                  <c:v>2010</c:v>
                </c:pt>
                <c:pt idx="4">
                  <c:v>2011</c:v>
                </c:pt>
                <c:pt idx="5">
                  <c:v>2012</c:v>
                </c:pt>
                <c:pt idx="6">
                  <c:v>2013</c:v>
                </c:pt>
                <c:pt idx="7">
                  <c:v>2014</c:v>
                </c:pt>
                <c:pt idx="8">
                  <c:v>2015</c:v>
                </c:pt>
                <c:pt idx="9">
                  <c:v>2016</c:v>
                </c:pt>
                <c:pt idx="10">
                  <c:v>2017</c:v>
                </c:pt>
                <c:pt idx="11">
                  <c:v>2018</c:v>
                </c:pt>
              </c:numCache>
            </c:numRef>
          </c:cat>
          <c:val>
            <c:numRef>
              <c:f>Overview!$H$19:$H$30</c:f>
              <c:numCache>
                <c:formatCode>General</c:formatCode>
                <c:ptCount val="12"/>
                <c:pt idx="0">
                  <c:v>1</c:v>
                </c:pt>
                <c:pt idx="1">
                  <c:v>1</c:v>
                </c:pt>
                <c:pt idx="2">
                  <c:v>0</c:v>
                </c:pt>
                <c:pt idx="3">
                  <c:v>1</c:v>
                </c:pt>
                <c:pt idx="4">
                  <c:v>3</c:v>
                </c:pt>
                <c:pt idx="5">
                  <c:v>2</c:v>
                </c:pt>
                <c:pt idx="6">
                  <c:v>4</c:v>
                </c:pt>
                <c:pt idx="7">
                  <c:v>6</c:v>
                </c:pt>
                <c:pt idx="8">
                  <c:v>5</c:v>
                </c:pt>
                <c:pt idx="9">
                  <c:v>7</c:v>
                </c:pt>
                <c:pt idx="10">
                  <c:v>2</c:v>
                </c:pt>
                <c:pt idx="11">
                  <c:v>10</c:v>
                </c:pt>
              </c:numCache>
            </c:numRef>
          </c:val>
          <c:extLst>
            <c:ext xmlns:c16="http://schemas.microsoft.com/office/drawing/2014/chart" uri="{C3380CC4-5D6E-409C-BE32-E72D297353CC}">
              <c16:uniqueId val="{00000000-6849-49F3-AD4F-E340E1DDBE9C}"/>
            </c:ext>
          </c:extLst>
        </c:ser>
        <c:dLbls>
          <c:showLegendKey val="0"/>
          <c:showVal val="0"/>
          <c:showCatName val="0"/>
          <c:showSerName val="0"/>
          <c:showPercent val="0"/>
          <c:showBubbleSize val="0"/>
        </c:dLbls>
        <c:gapWidth val="219"/>
        <c:overlap val="-27"/>
        <c:axId val="290149344"/>
        <c:axId val="290149736"/>
      </c:barChart>
      <c:catAx>
        <c:axId val="29014934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nl-NL"/>
          </a:p>
        </c:txPr>
        <c:crossAx val="290149736"/>
        <c:crosses val="autoZero"/>
        <c:auto val="1"/>
        <c:lblAlgn val="ctr"/>
        <c:lblOffset val="100"/>
        <c:noMultiLvlLbl val="0"/>
      </c:catAx>
      <c:valAx>
        <c:axId val="290149736"/>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nl-NL"/>
          </a:p>
        </c:txPr>
        <c:crossAx val="290149344"/>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nl-NL"/>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Amount of</a:t>
            </a:r>
            <a:r>
              <a:rPr lang="en-US" baseline="0"/>
              <a:t> </a:t>
            </a:r>
            <a:r>
              <a:rPr lang="en-US"/>
              <a:t>publication in</a:t>
            </a:r>
            <a:r>
              <a:rPr lang="en-US" baseline="0"/>
              <a:t> review</a:t>
            </a:r>
            <a:r>
              <a:rPr lang="en-US"/>
              <a:t> retrieved per database</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nl-NL"/>
        </a:p>
      </c:txPr>
    </c:title>
    <c:autoTitleDeleted val="0"/>
    <c:plotArea>
      <c:layout/>
      <c:barChart>
        <c:barDir val="col"/>
        <c:grouping val="clustered"/>
        <c:varyColors val="0"/>
        <c:ser>
          <c:idx val="0"/>
          <c:order val="0"/>
          <c:spPr>
            <a:solidFill>
              <a:schemeClr val="accent1"/>
            </a:solidFill>
            <a:ln>
              <a:noFill/>
            </a:ln>
            <a:effectLst/>
          </c:spPr>
          <c:invertIfNegative val="0"/>
          <c:cat>
            <c:strRef>
              <c:f>Overview!$N$19:$N$25</c:f>
              <c:strCache>
                <c:ptCount val="7"/>
                <c:pt idx="0">
                  <c:v>Scopus</c:v>
                </c:pt>
                <c:pt idx="1">
                  <c:v>ScienceDirect</c:v>
                </c:pt>
                <c:pt idx="2">
                  <c:v>Web of Science</c:v>
                </c:pt>
                <c:pt idx="3">
                  <c:v>Springerlink</c:v>
                </c:pt>
                <c:pt idx="4">
                  <c:v>IEEE</c:v>
                </c:pt>
                <c:pt idx="5">
                  <c:v>ACM</c:v>
                </c:pt>
                <c:pt idx="6">
                  <c:v>Snowballing</c:v>
                </c:pt>
              </c:strCache>
            </c:strRef>
          </c:cat>
          <c:val>
            <c:numRef>
              <c:f>Overview!$O$19:$O$25</c:f>
              <c:numCache>
                <c:formatCode>General</c:formatCode>
                <c:ptCount val="7"/>
                <c:pt idx="0">
                  <c:v>30</c:v>
                </c:pt>
                <c:pt idx="1">
                  <c:v>12</c:v>
                </c:pt>
                <c:pt idx="2">
                  <c:v>12</c:v>
                </c:pt>
                <c:pt idx="3">
                  <c:v>3</c:v>
                </c:pt>
                <c:pt idx="4">
                  <c:v>0</c:v>
                </c:pt>
                <c:pt idx="5">
                  <c:v>1</c:v>
                </c:pt>
                <c:pt idx="6">
                  <c:v>6</c:v>
                </c:pt>
              </c:numCache>
            </c:numRef>
          </c:val>
          <c:extLst>
            <c:ext xmlns:c16="http://schemas.microsoft.com/office/drawing/2014/chart" uri="{C3380CC4-5D6E-409C-BE32-E72D297353CC}">
              <c16:uniqueId val="{00000000-B63D-46BE-842B-0237E585BFB3}"/>
            </c:ext>
          </c:extLst>
        </c:ser>
        <c:dLbls>
          <c:showLegendKey val="0"/>
          <c:showVal val="0"/>
          <c:showCatName val="0"/>
          <c:showSerName val="0"/>
          <c:showPercent val="0"/>
          <c:showBubbleSize val="0"/>
        </c:dLbls>
        <c:gapWidth val="219"/>
        <c:overlap val="-27"/>
        <c:axId val="290150520"/>
        <c:axId val="290150912"/>
      </c:barChart>
      <c:catAx>
        <c:axId val="29015052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nl-NL"/>
          </a:p>
        </c:txPr>
        <c:crossAx val="290150912"/>
        <c:crosses val="autoZero"/>
        <c:auto val="1"/>
        <c:lblAlgn val="ctr"/>
        <c:lblOffset val="100"/>
        <c:noMultiLvlLbl val="0"/>
      </c:catAx>
      <c:valAx>
        <c:axId val="290150912"/>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nl-NL"/>
          </a:p>
        </c:txPr>
        <c:crossAx val="290150520"/>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nl-NL"/>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6</xdr:col>
      <xdr:colOff>0</xdr:colOff>
      <xdr:row>1</xdr:row>
      <xdr:rowOff>953</xdr:rowOff>
    </xdr:from>
    <xdr:to>
      <xdr:col>11</xdr:col>
      <xdr:colOff>438150</xdr:colOff>
      <xdr:row>16</xdr:row>
      <xdr:rowOff>14288</xdr:rowOff>
    </xdr:to>
    <xdr:graphicFrame macro="">
      <xdr:nvGraphicFramePr>
        <xdr:cNvPr id="2" name="Chart 1">
          <a:extLst>
            <a:ext uri="{FF2B5EF4-FFF2-40B4-BE49-F238E27FC236}">
              <a16:creationId xmlns:a16="http://schemas.microsoft.com/office/drawing/2014/main" id="{00000000-0008-0000-01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13</xdr:col>
      <xdr:colOff>0</xdr:colOff>
      <xdr:row>1</xdr:row>
      <xdr:rowOff>0</xdr:rowOff>
    </xdr:from>
    <xdr:to>
      <xdr:col>19</xdr:col>
      <xdr:colOff>190500</xdr:colOff>
      <xdr:row>16</xdr:row>
      <xdr:rowOff>19050</xdr:rowOff>
    </xdr:to>
    <xdr:graphicFrame macro="">
      <xdr:nvGraphicFramePr>
        <xdr:cNvPr id="3" name="Chart 2">
          <a:extLst>
            <a:ext uri="{FF2B5EF4-FFF2-40B4-BE49-F238E27FC236}">
              <a16:creationId xmlns:a16="http://schemas.microsoft.com/office/drawing/2014/main" id="{00000000-0008-0000-01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O44"/>
  <sheetViews>
    <sheetView tabSelected="1" zoomScale="80" zoomScaleNormal="80" workbookViewId="0">
      <selection activeCell="F23" sqref="F23"/>
    </sheetView>
  </sheetViews>
  <sheetFormatPr defaultRowHeight="12" x14ac:dyDescent="0.25"/>
  <cols>
    <col min="1" max="1" width="11.77734375" style="74" bestFit="1" customWidth="1"/>
    <col min="2" max="2" width="8.88671875" style="74"/>
    <col min="3" max="5" width="14.33203125" style="74" bestFit="1" customWidth="1"/>
    <col min="6" max="6" width="8.88671875" style="74"/>
    <col min="7" max="7" width="17.77734375" style="74" bestFit="1" customWidth="1"/>
    <col min="8" max="8" width="15.77734375" style="74" bestFit="1" customWidth="1"/>
    <col min="9" max="13" width="8.88671875" style="74"/>
    <col min="14" max="14" width="12.44140625" style="74" bestFit="1" customWidth="1"/>
    <col min="15" max="15" width="15.77734375" style="74" bestFit="1" customWidth="1"/>
    <col min="16" max="16384" width="8.88671875" style="74"/>
  </cols>
  <sheetData>
    <row r="1" spans="1:5" x14ac:dyDescent="0.25">
      <c r="A1" s="76" t="s">
        <v>10</v>
      </c>
      <c r="B1" s="82"/>
      <c r="C1" s="76" t="s">
        <v>435</v>
      </c>
      <c r="D1" s="77"/>
      <c r="E1" s="78"/>
    </row>
    <row r="2" spans="1:5" ht="12.6" thickBot="1" x14ac:dyDescent="0.3">
      <c r="A2" s="79" t="s">
        <v>12</v>
      </c>
      <c r="B2" s="83" t="s">
        <v>13</v>
      </c>
      <c r="C2" s="84"/>
      <c r="D2" s="80"/>
      <c r="E2" s="81"/>
    </row>
    <row r="3" spans="1:5" x14ac:dyDescent="0.25">
      <c r="A3" s="8" t="s">
        <v>14</v>
      </c>
      <c r="B3" s="70">
        <v>2011</v>
      </c>
      <c r="C3" s="85" t="s">
        <v>253</v>
      </c>
      <c r="D3" s="86"/>
      <c r="E3" s="87"/>
    </row>
    <row r="4" spans="1:5" x14ac:dyDescent="0.25">
      <c r="A4" s="8" t="s">
        <v>15</v>
      </c>
      <c r="B4" s="70">
        <v>2014</v>
      </c>
      <c r="C4" s="85" t="s">
        <v>248</v>
      </c>
      <c r="D4" s="86" t="s">
        <v>247</v>
      </c>
      <c r="E4" s="87"/>
    </row>
    <row r="5" spans="1:5" x14ac:dyDescent="0.25">
      <c r="A5" s="8" t="s">
        <v>16</v>
      </c>
      <c r="B5" s="70">
        <v>2007</v>
      </c>
      <c r="C5" s="85" t="s">
        <v>248</v>
      </c>
      <c r="D5" s="86" t="s">
        <v>247</v>
      </c>
      <c r="E5" s="87"/>
    </row>
    <row r="6" spans="1:5" x14ac:dyDescent="0.25">
      <c r="A6" s="8" t="s">
        <v>17</v>
      </c>
      <c r="B6" s="70">
        <v>2017</v>
      </c>
      <c r="C6" s="85" t="s">
        <v>249</v>
      </c>
      <c r="D6" s="86"/>
      <c r="E6" s="87"/>
    </row>
    <row r="7" spans="1:5" x14ac:dyDescent="0.25">
      <c r="A7" s="8" t="s">
        <v>17</v>
      </c>
      <c r="B7" s="70">
        <v>2015</v>
      </c>
      <c r="C7" s="85" t="s">
        <v>250</v>
      </c>
      <c r="D7" s="86"/>
      <c r="E7" s="87"/>
    </row>
    <row r="8" spans="1:5" x14ac:dyDescent="0.25">
      <c r="A8" s="9" t="s">
        <v>18</v>
      </c>
      <c r="B8" s="70">
        <v>2018</v>
      </c>
      <c r="C8" s="85" t="s">
        <v>248</v>
      </c>
      <c r="D8" s="86" t="s">
        <v>251</v>
      </c>
      <c r="E8" s="87"/>
    </row>
    <row r="9" spans="1:5" x14ac:dyDescent="0.25">
      <c r="A9" s="9" t="s">
        <v>122</v>
      </c>
      <c r="B9" s="70">
        <v>2018</v>
      </c>
      <c r="C9" s="85" t="s">
        <v>248</v>
      </c>
      <c r="D9" s="86" t="s">
        <v>251</v>
      </c>
      <c r="E9" s="87"/>
    </row>
    <row r="10" spans="1:5" x14ac:dyDescent="0.25">
      <c r="A10" s="8" t="s">
        <v>19</v>
      </c>
      <c r="B10" s="70">
        <v>2012</v>
      </c>
      <c r="C10" s="85" t="s">
        <v>248</v>
      </c>
      <c r="D10" s="86"/>
      <c r="E10" s="87"/>
    </row>
    <row r="11" spans="1:5" x14ac:dyDescent="0.25">
      <c r="A11" s="8" t="s">
        <v>20</v>
      </c>
      <c r="B11" s="70">
        <v>2008</v>
      </c>
      <c r="C11" s="85" t="s">
        <v>248</v>
      </c>
      <c r="D11" s="86"/>
      <c r="E11" s="87"/>
    </row>
    <row r="12" spans="1:5" x14ac:dyDescent="0.25">
      <c r="A12" s="8" t="s">
        <v>21</v>
      </c>
      <c r="B12" s="70">
        <v>2014</v>
      </c>
      <c r="C12" s="85" t="s">
        <v>248</v>
      </c>
      <c r="D12" s="86"/>
      <c r="E12" s="87"/>
    </row>
    <row r="13" spans="1:5" x14ac:dyDescent="0.25">
      <c r="A13" s="9" t="s">
        <v>22</v>
      </c>
      <c r="B13" s="70">
        <v>2015</v>
      </c>
      <c r="C13" s="85" t="s">
        <v>247</v>
      </c>
      <c r="D13" s="86"/>
      <c r="E13" s="87"/>
    </row>
    <row r="14" spans="1:5" x14ac:dyDescent="0.25">
      <c r="A14" s="9" t="s">
        <v>23</v>
      </c>
      <c r="B14" s="70">
        <v>2014</v>
      </c>
      <c r="C14" s="85" t="s">
        <v>248</v>
      </c>
      <c r="D14" s="86" t="s">
        <v>251</v>
      </c>
      <c r="E14" s="87"/>
    </row>
    <row r="15" spans="1:5" x14ac:dyDescent="0.25">
      <c r="A15" s="8" t="s">
        <v>100</v>
      </c>
      <c r="B15" s="70">
        <v>2012</v>
      </c>
      <c r="C15" s="85" t="s">
        <v>250</v>
      </c>
      <c r="D15" s="86"/>
      <c r="E15" s="87"/>
    </row>
    <row r="16" spans="1:5" x14ac:dyDescent="0.25">
      <c r="A16" s="9" t="s">
        <v>123</v>
      </c>
      <c r="B16" s="70">
        <v>2018</v>
      </c>
      <c r="C16" s="85" t="s">
        <v>248</v>
      </c>
      <c r="D16" s="86"/>
      <c r="E16" s="87"/>
    </row>
    <row r="17" spans="1:15" ht="12.6" thickBot="1" x14ac:dyDescent="0.3">
      <c r="A17" s="9" t="s">
        <v>24</v>
      </c>
      <c r="B17" s="70">
        <v>2011</v>
      </c>
      <c r="C17" s="85" t="s">
        <v>248</v>
      </c>
      <c r="D17" s="86" t="s">
        <v>249</v>
      </c>
      <c r="E17" s="87"/>
    </row>
    <row r="18" spans="1:15" ht="12.6" thickBot="1" x14ac:dyDescent="0.3">
      <c r="A18" s="9" t="s">
        <v>25</v>
      </c>
      <c r="B18" s="70">
        <v>2014</v>
      </c>
      <c r="C18" s="85" t="s">
        <v>248</v>
      </c>
      <c r="D18" s="86" t="s">
        <v>249</v>
      </c>
      <c r="E18" s="87"/>
      <c r="G18" s="72" t="s">
        <v>495</v>
      </c>
      <c r="H18" s="73" t="s">
        <v>496</v>
      </c>
      <c r="J18" s="75"/>
      <c r="K18" s="75"/>
      <c r="L18" s="75"/>
      <c r="N18" s="72" t="s">
        <v>497</v>
      </c>
      <c r="O18" s="73" t="s">
        <v>496</v>
      </c>
    </row>
    <row r="19" spans="1:15" x14ac:dyDescent="0.25">
      <c r="A19" s="9" t="s">
        <v>26</v>
      </c>
      <c r="B19" s="70">
        <v>2014</v>
      </c>
      <c r="C19" s="85" t="s">
        <v>248</v>
      </c>
      <c r="D19" s="86" t="s">
        <v>249</v>
      </c>
      <c r="E19" s="87"/>
      <c r="G19" s="85">
        <v>2007</v>
      </c>
      <c r="H19" s="87">
        <f t="shared" ref="H19:H30" si="0">COUNTIF($B$3:$B$44,G19)</f>
        <v>1</v>
      </c>
      <c r="N19" s="85" t="s">
        <v>248</v>
      </c>
      <c r="O19" s="87">
        <f t="shared" ref="O19:O25" si="1">COUNTIF($C$3:$C$44,N19)+COUNTIF($D$3:$D$44,N19)+COUNTIF($E$3:$E$44,N19)</f>
        <v>30</v>
      </c>
    </row>
    <row r="20" spans="1:15" x14ac:dyDescent="0.25">
      <c r="A20" s="9" t="s">
        <v>124</v>
      </c>
      <c r="B20" s="70">
        <v>2018</v>
      </c>
      <c r="C20" s="85" t="s">
        <v>248</v>
      </c>
      <c r="D20" s="86" t="s">
        <v>249</v>
      </c>
      <c r="E20" s="87"/>
      <c r="G20" s="85">
        <v>2008</v>
      </c>
      <c r="H20" s="87">
        <f t="shared" si="0"/>
        <v>1</v>
      </c>
      <c r="N20" s="85" t="s">
        <v>249</v>
      </c>
      <c r="O20" s="87">
        <f t="shared" si="1"/>
        <v>12</v>
      </c>
    </row>
    <row r="21" spans="1:15" x14ac:dyDescent="0.25">
      <c r="A21" s="9" t="s">
        <v>125</v>
      </c>
      <c r="B21" s="70">
        <v>2018</v>
      </c>
      <c r="C21" s="85" t="s">
        <v>248</v>
      </c>
      <c r="D21" s="86" t="s">
        <v>251</v>
      </c>
      <c r="E21" s="87"/>
      <c r="G21" s="85">
        <v>2009</v>
      </c>
      <c r="H21" s="87">
        <f t="shared" si="0"/>
        <v>0</v>
      </c>
      <c r="N21" s="85" t="s">
        <v>251</v>
      </c>
      <c r="O21" s="87">
        <f t="shared" si="1"/>
        <v>12</v>
      </c>
    </row>
    <row r="22" spans="1:15" x14ac:dyDescent="0.25">
      <c r="A22" s="9" t="s">
        <v>27</v>
      </c>
      <c r="B22" s="70">
        <v>2017</v>
      </c>
      <c r="C22" s="85" t="s">
        <v>248</v>
      </c>
      <c r="D22" s="86" t="s">
        <v>251</v>
      </c>
      <c r="E22" s="87" t="s">
        <v>249</v>
      </c>
      <c r="G22" s="85">
        <v>2010</v>
      </c>
      <c r="H22" s="87">
        <f t="shared" si="0"/>
        <v>1</v>
      </c>
      <c r="N22" s="85" t="s">
        <v>247</v>
      </c>
      <c r="O22" s="87">
        <f t="shared" si="1"/>
        <v>3</v>
      </c>
    </row>
    <row r="23" spans="1:15" x14ac:dyDescent="0.25">
      <c r="A23" s="9" t="s">
        <v>126</v>
      </c>
      <c r="B23" s="70">
        <v>2018</v>
      </c>
      <c r="C23" s="85" t="s">
        <v>251</v>
      </c>
      <c r="D23" s="86"/>
      <c r="E23" s="87"/>
      <c r="G23" s="85">
        <v>2011</v>
      </c>
      <c r="H23" s="87">
        <f t="shared" si="0"/>
        <v>3</v>
      </c>
      <c r="N23" s="85" t="s">
        <v>252</v>
      </c>
      <c r="O23" s="87">
        <f t="shared" si="1"/>
        <v>0</v>
      </c>
    </row>
    <row r="24" spans="1:15" x14ac:dyDescent="0.25">
      <c r="A24" s="9" t="s">
        <v>101</v>
      </c>
      <c r="B24" s="70">
        <v>2015</v>
      </c>
      <c r="C24" s="85" t="s">
        <v>250</v>
      </c>
      <c r="D24" s="86"/>
      <c r="E24" s="87"/>
      <c r="G24" s="85">
        <v>2012</v>
      </c>
      <c r="H24" s="87">
        <f t="shared" si="0"/>
        <v>2</v>
      </c>
      <c r="N24" s="85" t="s">
        <v>253</v>
      </c>
      <c r="O24" s="87">
        <f t="shared" si="1"/>
        <v>1</v>
      </c>
    </row>
    <row r="25" spans="1:15" ht="12.6" thickBot="1" x14ac:dyDescent="0.3">
      <c r="A25" s="9" t="s">
        <v>28</v>
      </c>
      <c r="B25" s="70">
        <v>2013</v>
      </c>
      <c r="C25" s="85" t="s">
        <v>248</v>
      </c>
      <c r="D25" s="86" t="s">
        <v>251</v>
      </c>
      <c r="E25" s="87" t="s">
        <v>249</v>
      </c>
      <c r="G25" s="85">
        <v>2013</v>
      </c>
      <c r="H25" s="87">
        <f t="shared" si="0"/>
        <v>4</v>
      </c>
      <c r="N25" s="84" t="s">
        <v>250</v>
      </c>
      <c r="O25" s="81">
        <f t="shared" si="1"/>
        <v>6</v>
      </c>
    </row>
    <row r="26" spans="1:15" x14ac:dyDescent="0.25">
      <c r="A26" s="9" t="s">
        <v>127</v>
      </c>
      <c r="B26" s="70">
        <v>2018</v>
      </c>
      <c r="C26" s="85" t="s">
        <v>248</v>
      </c>
      <c r="D26" s="86"/>
      <c r="E26" s="87"/>
      <c r="G26" s="85">
        <v>2014</v>
      </c>
      <c r="H26" s="87">
        <f t="shared" si="0"/>
        <v>6</v>
      </c>
    </row>
    <row r="27" spans="1:15" x14ac:dyDescent="0.25">
      <c r="A27" s="9" t="s">
        <v>308</v>
      </c>
      <c r="B27" s="70">
        <v>2018</v>
      </c>
      <c r="C27" s="85" t="s">
        <v>248</v>
      </c>
      <c r="D27" s="86" t="s">
        <v>251</v>
      </c>
      <c r="E27" s="87"/>
      <c r="G27" s="85">
        <v>2015</v>
      </c>
      <c r="H27" s="87">
        <f t="shared" si="0"/>
        <v>5</v>
      </c>
    </row>
    <row r="28" spans="1:15" x14ac:dyDescent="0.25">
      <c r="A28" s="9" t="s">
        <v>309</v>
      </c>
      <c r="B28" s="70">
        <v>2016</v>
      </c>
      <c r="C28" s="85" t="s">
        <v>248</v>
      </c>
      <c r="D28" s="86" t="s">
        <v>251</v>
      </c>
      <c r="E28" s="87"/>
      <c r="G28" s="85">
        <v>2016</v>
      </c>
      <c r="H28" s="87">
        <f t="shared" si="0"/>
        <v>7</v>
      </c>
    </row>
    <row r="29" spans="1:15" x14ac:dyDescent="0.25">
      <c r="A29" s="9" t="s">
        <v>128</v>
      </c>
      <c r="B29" s="70">
        <v>2016</v>
      </c>
      <c r="C29" s="85" t="s">
        <v>248</v>
      </c>
      <c r="D29" s="86" t="s">
        <v>251</v>
      </c>
      <c r="E29" s="87" t="s">
        <v>249</v>
      </c>
      <c r="G29" s="85">
        <v>2017</v>
      </c>
      <c r="H29" s="87">
        <f t="shared" si="0"/>
        <v>2</v>
      </c>
    </row>
    <row r="30" spans="1:15" ht="12.6" thickBot="1" x14ac:dyDescent="0.3">
      <c r="A30" s="9" t="s">
        <v>128</v>
      </c>
      <c r="B30" s="70">
        <v>2018</v>
      </c>
      <c r="C30" s="85" t="s">
        <v>248</v>
      </c>
      <c r="D30" s="86"/>
      <c r="E30" s="87"/>
      <c r="G30" s="84">
        <v>2018</v>
      </c>
      <c r="H30" s="81">
        <f t="shared" si="0"/>
        <v>10</v>
      </c>
    </row>
    <row r="31" spans="1:15" x14ac:dyDescent="0.25">
      <c r="A31" s="9" t="s">
        <v>29</v>
      </c>
      <c r="B31" s="70">
        <v>2016</v>
      </c>
      <c r="C31" s="85" t="s">
        <v>248</v>
      </c>
      <c r="D31" s="86"/>
      <c r="E31" s="87"/>
    </row>
    <row r="32" spans="1:15" x14ac:dyDescent="0.25">
      <c r="A32" s="9" t="s">
        <v>30</v>
      </c>
      <c r="B32" s="70">
        <v>2016</v>
      </c>
      <c r="C32" s="85" t="s">
        <v>248</v>
      </c>
      <c r="D32" s="86"/>
      <c r="E32" s="87"/>
    </row>
    <row r="33" spans="1:5" x14ac:dyDescent="0.25">
      <c r="A33" s="9" t="s">
        <v>31</v>
      </c>
      <c r="B33" s="70">
        <v>2016</v>
      </c>
      <c r="C33" s="85" t="s">
        <v>248</v>
      </c>
      <c r="D33" s="86" t="s">
        <v>249</v>
      </c>
      <c r="E33" s="87"/>
    </row>
    <row r="34" spans="1:5" x14ac:dyDescent="0.25">
      <c r="A34" s="9" t="s">
        <v>310</v>
      </c>
      <c r="B34" s="70">
        <v>2013</v>
      </c>
      <c r="C34" s="85" t="s">
        <v>249</v>
      </c>
      <c r="D34" s="86"/>
      <c r="E34" s="87"/>
    </row>
    <row r="35" spans="1:5" x14ac:dyDescent="0.25">
      <c r="A35" s="9" t="s">
        <v>103</v>
      </c>
      <c r="B35" s="70">
        <v>2010</v>
      </c>
      <c r="C35" s="85" t="s">
        <v>250</v>
      </c>
      <c r="D35" s="86"/>
      <c r="E35" s="87"/>
    </row>
    <row r="36" spans="1:5" x14ac:dyDescent="0.25">
      <c r="A36" s="9" t="s">
        <v>32</v>
      </c>
      <c r="B36" s="70">
        <v>2014</v>
      </c>
      <c r="C36" s="85" t="s">
        <v>248</v>
      </c>
      <c r="D36" s="86" t="s">
        <v>249</v>
      </c>
      <c r="E36" s="87"/>
    </row>
    <row r="37" spans="1:5" x14ac:dyDescent="0.25">
      <c r="A37" s="9" t="s">
        <v>33</v>
      </c>
      <c r="B37" s="70">
        <v>2011</v>
      </c>
      <c r="C37" s="85" t="s">
        <v>248</v>
      </c>
      <c r="D37" s="86"/>
      <c r="E37" s="87"/>
    </row>
    <row r="38" spans="1:5" x14ac:dyDescent="0.25">
      <c r="A38" s="9" t="s">
        <v>376</v>
      </c>
      <c r="B38" s="70">
        <v>2015</v>
      </c>
      <c r="C38" s="85" t="s">
        <v>250</v>
      </c>
      <c r="D38" s="86"/>
      <c r="E38" s="87"/>
    </row>
    <row r="39" spans="1:5" x14ac:dyDescent="0.25">
      <c r="A39" s="9" t="s">
        <v>34</v>
      </c>
      <c r="B39" s="70">
        <v>2018</v>
      </c>
      <c r="C39" s="85" t="s">
        <v>249</v>
      </c>
      <c r="D39" s="86"/>
      <c r="E39" s="87"/>
    </row>
    <row r="40" spans="1:5" x14ac:dyDescent="0.25">
      <c r="A40" s="9" t="s">
        <v>35</v>
      </c>
      <c r="B40" s="70">
        <v>2013</v>
      </c>
      <c r="C40" s="85" t="s">
        <v>248</v>
      </c>
      <c r="D40" s="86"/>
      <c r="E40" s="87"/>
    </row>
    <row r="41" spans="1:5" x14ac:dyDescent="0.25">
      <c r="A41" s="9" t="s">
        <v>36</v>
      </c>
      <c r="B41" s="70">
        <v>2016</v>
      </c>
      <c r="C41" s="85" t="s">
        <v>248</v>
      </c>
      <c r="D41" s="86" t="s">
        <v>251</v>
      </c>
      <c r="E41" s="87"/>
    </row>
    <row r="42" spans="1:5" x14ac:dyDescent="0.25">
      <c r="A42" s="9" t="s">
        <v>37</v>
      </c>
      <c r="B42" s="70">
        <v>2015</v>
      </c>
      <c r="C42" s="85" t="s">
        <v>248</v>
      </c>
      <c r="D42" s="86" t="s">
        <v>251</v>
      </c>
      <c r="E42" s="87"/>
    </row>
    <row r="43" spans="1:5" x14ac:dyDescent="0.25">
      <c r="A43" s="9" t="s">
        <v>154</v>
      </c>
      <c r="B43" s="70">
        <v>2016</v>
      </c>
      <c r="C43" s="85" t="s">
        <v>250</v>
      </c>
      <c r="D43" s="86"/>
      <c r="E43" s="87"/>
    </row>
    <row r="44" spans="1:5" ht="12.6" thickBot="1" x14ac:dyDescent="0.3">
      <c r="A44" s="54" t="s">
        <v>161</v>
      </c>
      <c r="B44" s="71">
        <v>2013</v>
      </c>
      <c r="C44" s="84" t="s">
        <v>248</v>
      </c>
      <c r="D44" s="80"/>
      <c r="E44" s="81"/>
    </row>
  </sheetData>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M138"/>
  <sheetViews>
    <sheetView zoomScale="80" zoomScaleNormal="80" workbookViewId="0">
      <pane xSplit="5" ySplit="2" topLeftCell="K3" activePane="bottomRight" state="frozen"/>
      <selection pane="topRight" activeCell="F1" sqref="F1"/>
      <selection pane="bottomLeft" activeCell="A3" sqref="A3"/>
      <selection pane="bottomRight" activeCell="N20" sqref="N20"/>
    </sheetView>
  </sheetViews>
  <sheetFormatPr defaultRowHeight="14.4" x14ac:dyDescent="0.3"/>
  <cols>
    <col min="1" max="1" width="9.33203125" style="2" customWidth="1"/>
    <col min="2" max="2" width="4.33203125" style="12" bestFit="1" customWidth="1"/>
    <col min="3" max="3" width="6.109375" style="12" bestFit="1" customWidth="1"/>
    <col min="4" max="4" width="7.6640625" style="12" bestFit="1" customWidth="1"/>
    <col min="5" max="5" width="9.88671875" style="41" customWidth="1"/>
    <col min="6" max="6" width="66.6640625" customWidth="1"/>
    <col min="7" max="7" width="2.77734375" customWidth="1"/>
    <col min="8" max="8" width="66.6640625" customWidth="1"/>
    <col min="9" max="9" width="2.77734375" customWidth="1"/>
    <col min="10" max="10" width="66.6640625" customWidth="1"/>
    <col min="11" max="11" width="2.77734375" customWidth="1"/>
    <col min="12" max="12" width="66.6640625" customWidth="1"/>
    <col min="13" max="13" width="2.77734375" customWidth="1"/>
    <col min="14" max="14" width="66.6640625" style="60" customWidth="1"/>
    <col min="15" max="15" width="2.77734375" customWidth="1"/>
    <col min="16" max="16" width="43.88671875" customWidth="1"/>
    <col min="17" max="17" width="10.44140625" style="8" bestFit="1" customWidth="1"/>
    <col min="18" max="18" width="34.88671875" style="30" customWidth="1"/>
    <col min="19" max="19" width="13.109375" style="31" bestFit="1" customWidth="1"/>
    <col min="21" max="21" width="38.5546875" bestFit="1" customWidth="1"/>
    <col min="22" max="22" width="41.5546875" bestFit="1" customWidth="1"/>
    <col min="23" max="23" width="40.21875" bestFit="1" customWidth="1"/>
    <col min="25" max="25" width="40.21875" bestFit="1" customWidth="1"/>
    <col min="26" max="26" width="32.33203125" bestFit="1" customWidth="1"/>
  </cols>
  <sheetData>
    <row r="1" spans="1:26" s="16" customFormat="1" x14ac:dyDescent="0.3">
      <c r="A1" s="13" t="s">
        <v>10</v>
      </c>
      <c r="B1" s="14"/>
      <c r="C1" s="18" t="s">
        <v>8</v>
      </c>
      <c r="D1" s="43" t="s">
        <v>6</v>
      </c>
      <c r="E1" s="51"/>
      <c r="F1" s="42" t="s">
        <v>0</v>
      </c>
      <c r="G1" s="15"/>
      <c r="H1" s="15" t="s">
        <v>1</v>
      </c>
      <c r="I1" s="15"/>
      <c r="J1" s="15" t="s">
        <v>2</v>
      </c>
      <c r="K1" s="15"/>
      <c r="L1" s="27" t="s">
        <v>3</v>
      </c>
      <c r="M1" s="13"/>
      <c r="N1" s="15" t="s">
        <v>4</v>
      </c>
      <c r="O1" s="15"/>
      <c r="P1" s="10" t="s">
        <v>11</v>
      </c>
      <c r="Q1" s="28" t="s">
        <v>42</v>
      </c>
      <c r="R1" s="19" t="s">
        <v>51</v>
      </c>
      <c r="S1" s="34" t="s">
        <v>99</v>
      </c>
    </row>
    <row r="2" spans="1:26" s="1" customFormat="1" ht="25.2" thickBot="1" x14ac:dyDescent="0.35">
      <c r="A2" s="47" t="s">
        <v>12</v>
      </c>
      <c r="B2" s="48" t="s">
        <v>13</v>
      </c>
      <c r="C2" s="49" t="s">
        <v>9</v>
      </c>
      <c r="D2" s="50" t="s">
        <v>7</v>
      </c>
      <c r="E2" s="46" t="s">
        <v>5</v>
      </c>
      <c r="F2" s="44" t="s">
        <v>305</v>
      </c>
      <c r="G2" s="5" t="s">
        <v>8</v>
      </c>
      <c r="H2" s="4" t="s">
        <v>306</v>
      </c>
      <c r="I2" s="5" t="s">
        <v>8</v>
      </c>
      <c r="J2" s="4" t="s">
        <v>212</v>
      </c>
      <c r="K2" s="5" t="s">
        <v>8</v>
      </c>
      <c r="L2" s="63" t="s">
        <v>213</v>
      </c>
      <c r="M2" s="64" t="s">
        <v>8</v>
      </c>
      <c r="N2" s="3" t="s">
        <v>307</v>
      </c>
      <c r="O2" s="5" t="s">
        <v>8</v>
      </c>
      <c r="P2" s="6"/>
      <c r="Q2" s="29"/>
      <c r="R2" s="20"/>
      <c r="S2" s="35"/>
    </row>
    <row r="3" spans="1:26" x14ac:dyDescent="0.3">
      <c r="A3" s="9" t="s">
        <v>14</v>
      </c>
      <c r="B3" s="11">
        <v>2011</v>
      </c>
      <c r="C3" s="17">
        <f>G3+I3+K3+M3+O3</f>
        <v>5</v>
      </c>
      <c r="D3" s="17" t="str">
        <f t="shared" ref="D3:D44" si="0">IF(Q3="No","No",IF(C3&lt;4,"No","Yes"))</f>
        <v>Yes</v>
      </c>
      <c r="E3" s="31" t="s">
        <v>40</v>
      </c>
      <c r="F3" s="30" t="s">
        <v>392</v>
      </c>
      <c r="G3" s="30">
        <v>1</v>
      </c>
      <c r="H3" s="30" t="s">
        <v>113</v>
      </c>
      <c r="I3" s="30">
        <v>1</v>
      </c>
      <c r="J3" s="30" t="s">
        <v>118</v>
      </c>
      <c r="K3" s="30">
        <v>1</v>
      </c>
      <c r="L3" s="30" t="s">
        <v>64</v>
      </c>
      <c r="M3" s="57">
        <v>1</v>
      </c>
      <c r="N3" s="30" t="s">
        <v>160</v>
      </c>
      <c r="O3" s="30">
        <v>1</v>
      </c>
      <c r="P3" s="31" t="s">
        <v>315</v>
      </c>
    </row>
    <row r="4" spans="1:26" x14ac:dyDescent="0.3">
      <c r="A4" s="8" t="s">
        <v>15</v>
      </c>
      <c r="B4" s="11">
        <v>2014</v>
      </c>
      <c r="C4" s="17">
        <f t="shared" ref="C4:C44" si="1">G4+I4+K4+M4+O4</f>
        <v>4</v>
      </c>
      <c r="D4" s="17" t="str">
        <f t="shared" si="0"/>
        <v>Yes</v>
      </c>
      <c r="E4" s="31" t="s">
        <v>38</v>
      </c>
      <c r="F4" s="30" t="s">
        <v>358</v>
      </c>
      <c r="G4" s="30">
        <v>0</v>
      </c>
      <c r="H4" s="30" t="s">
        <v>113</v>
      </c>
      <c r="I4" s="30">
        <v>1</v>
      </c>
      <c r="J4" s="30" t="s">
        <v>95</v>
      </c>
      <c r="K4" s="30">
        <v>1</v>
      </c>
      <c r="L4" s="30" t="s">
        <v>65</v>
      </c>
      <c r="M4" s="57">
        <v>1</v>
      </c>
      <c r="N4" s="30" t="s">
        <v>273</v>
      </c>
      <c r="O4" s="30">
        <v>1</v>
      </c>
      <c r="P4" s="31"/>
      <c r="U4" s="30"/>
      <c r="V4" s="30"/>
      <c r="W4" s="30"/>
      <c r="Y4" s="30"/>
      <c r="Z4" s="30"/>
    </row>
    <row r="5" spans="1:26" ht="36" x14ac:dyDescent="0.3">
      <c r="A5" s="8" t="s">
        <v>16</v>
      </c>
      <c r="B5" s="11">
        <v>2007</v>
      </c>
      <c r="C5" s="17">
        <f t="shared" si="1"/>
        <v>5</v>
      </c>
      <c r="D5" s="17" t="str">
        <f t="shared" si="0"/>
        <v>Yes</v>
      </c>
      <c r="E5" s="31" t="s">
        <v>39</v>
      </c>
      <c r="F5" s="30" t="s">
        <v>393</v>
      </c>
      <c r="G5" s="30">
        <v>1</v>
      </c>
      <c r="H5" s="30" t="s">
        <v>243</v>
      </c>
      <c r="I5" s="30">
        <v>1</v>
      </c>
      <c r="J5" s="30" t="s">
        <v>302</v>
      </c>
      <c r="K5" s="30">
        <v>1</v>
      </c>
      <c r="L5" s="30" t="s">
        <v>64</v>
      </c>
      <c r="M5" s="57">
        <v>1</v>
      </c>
      <c r="N5" s="30" t="s">
        <v>412</v>
      </c>
      <c r="O5" s="30">
        <v>1</v>
      </c>
      <c r="P5" s="31"/>
      <c r="U5" s="30"/>
      <c r="V5" s="30"/>
      <c r="W5" s="7"/>
      <c r="Y5" s="33"/>
      <c r="Z5" s="33"/>
    </row>
    <row r="6" spans="1:26" x14ac:dyDescent="0.3">
      <c r="A6" s="8" t="s">
        <v>17</v>
      </c>
      <c r="B6" s="11">
        <v>2017</v>
      </c>
      <c r="C6" s="17">
        <f t="shared" si="1"/>
        <v>5</v>
      </c>
      <c r="D6" s="17" t="str">
        <f t="shared" si="0"/>
        <v>Yes</v>
      </c>
      <c r="E6" s="31" t="s">
        <v>44</v>
      </c>
      <c r="F6" s="30" t="s">
        <v>426</v>
      </c>
      <c r="G6" s="30">
        <v>1</v>
      </c>
      <c r="H6" s="30" t="s">
        <v>47</v>
      </c>
      <c r="I6" s="30">
        <v>1</v>
      </c>
      <c r="J6" s="30" t="s">
        <v>208</v>
      </c>
      <c r="K6" s="30">
        <v>1</v>
      </c>
      <c r="L6" s="30" t="s">
        <v>64</v>
      </c>
      <c r="M6" s="57">
        <v>1</v>
      </c>
      <c r="N6" s="30" t="s">
        <v>273</v>
      </c>
      <c r="O6" s="30">
        <v>1</v>
      </c>
      <c r="P6" s="31"/>
      <c r="U6" s="30"/>
      <c r="V6" s="30"/>
      <c r="W6" s="7"/>
      <c r="Y6" s="33"/>
      <c r="Z6" s="33"/>
    </row>
    <row r="7" spans="1:26" x14ac:dyDescent="0.3">
      <c r="A7" s="8" t="s">
        <v>17</v>
      </c>
      <c r="B7" s="11">
        <v>2015</v>
      </c>
      <c r="C7" s="17">
        <f t="shared" si="1"/>
        <v>5</v>
      </c>
      <c r="D7" s="17" t="str">
        <f t="shared" si="0"/>
        <v>Yes</v>
      </c>
      <c r="E7" s="31" t="s">
        <v>105</v>
      </c>
      <c r="F7" s="30" t="s">
        <v>394</v>
      </c>
      <c r="G7" s="30">
        <v>1</v>
      </c>
      <c r="H7" s="30" t="s">
        <v>164</v>
      </c>
      <c r="I7" s="30">
        <v>1</v>
      </c>
      <c r="J7" s="30" t="s">
        <v>116</v>
      </c>
      <c r="K7" s="30">
        <v>1</v>
      </c>
      <c r="L7" s="30" t="s">
        <v>66</v>
      </c>
      <c r="M7" s="57">
        <v>1</v>
      </c>
      <c r="N7" s="30" t="s">
        <v>425</v>
      </c>
      <c r="O7" s="30">
        <v>1</v>
      </c>
      <c r="P7" s="31"/>
      <c r="U7" s="30"/>
      <c r="V7" s="30"/>
      <c r="W7" s="7"/>
      <c r="Y7" s="30"/>
      <c r="Z7" s="30"/>
    </row>
    <row r="8" spans="1:26" ht="36" x14ac:dyDescent="0.3">
      <c r="A8" s="9" t="s">
        <v>18</v>
      </c>
      <c r="B8" s="11">
        <v>2018</v>
      </c>
      <c r="C8" s="17">
        <f t="shared" si="1"/>
        <v>4</v>
      </c>
      <c r="D8" s="17" t="str">
        <f t="shared" si="0"/>
        <v>Yes</v>
      </c>
      <c r="E8" s="31" t="s">
        <v>311</v>
      </c>
      <c r="F8" s="30" t="s">
        <v>358</v>
      </c>
      <c r="G8" s="30">
        <v>0</v>
      </c>
      <c r="H8" s="30" t="s">
        <v>194</v>
      </c>
      <c r="I8" s="30">
        <v>1</v>
      </c>
      <c r="J8" s="30" t="s">
        <v>138</v>
      </c>
      <c r="K8" s="30">
        <v>1</v>
      </c>
      <c r="L8" s="30" t="s">
        <v>66</v>
      </c>
      <c r="M8" s="57">
        <v>1</v>
      </c>
      <c r="N8" s="30" t="s">
        <v>443</v>
      </c>
      <c r="O8" s="30">
        <v>1</v>
      </c>
      <c r="P8" s="31"/>
    </row>
    <row r="9" spans="1:26" ht="84" x14ac:dyDescent="0.3">
      <c r="A9" s="9" t="s">
        <v>122</v>
      </c>
      <c r="B9" s="11">
        <v>2018</v>
      </c>
      <c r="C9" s="17">
        <f t="shared" si="1"/>
        <v>5</v>
      </c>
      <c r="D9" s="17" t="str">
        <f t="shared" si="0"/>
        <v>Yes</v>
      </c>
      <c r="E9" s="31" t="s">
        <v>131</v>
      </c>
      <c r="F9" s="30" t="s">
        <v>337</v>
      </c>
      <c r="G9" s="30">
        <v>1</v>
      </c>
      <c r="H9" s="30" t="s">
        <v>165</v>
      </c>
      <c r="I9" s="30">
        <v>1</v>
      </c>
      <c r="J9" s="30" t="s">
        <v>116</v>
      </c>
      <c r="K9" s="30">
        <v>1</v>
      </c>
      <c r="L9" s="30" t="s">
        <v>66</v>
      </c>
      <c r="M9" s="57">
        <v>1</v>
      </c>
      <c r="N9" s="30" t="s">
        <v>457</v>
      </c>
      <c r="O9" s="30">
        <v>1</v>
      </c>
      <c r="P9" s="31"/>
      <c r="S9" s="41"/>
      <c r="U9" s="30"/>
      <c r="V9" s="30"/>
      <c r="W9" s="7"/>
      <c r="Y9" s="30"/>
      <c r="Z9" s="30"/>
    </row>
    <row r="10" spans="1:26" x14ac:dyDescent="0.3">
      <c r="A10" s="8" t="s">
        <v>19</v>
      </c>
      <c r="B10" s="11">
        <v>2012</v>
      </c>
      <c r="C10" s="17">
        <f t="shared" si="1"/>
        <v>5</v>
      </c>
      <c r="D10" s="17" t="str">
        <f t="shared" si="0"/>
        <v>Yes</v>
      </c>
      <c r="E10" s="31" t="s">
        <v>50</v>
      </c>
      <c r="F10" s="30" t="s">
        <v>426</v>
      </c>
      <c r="G10" s="30">
        <v>1</v>
      </c>
      <c r="H10" s="30" t="s">
        <v>163</v>
      </c>
      <c r="I10" s="30">
        <v>1</v>
      </c>
      <c r="J10" s="30" t="s">
        <v>208</v>
      </c>
      <c r="K10" s="30">
        <v>1</v>
      </c>
      <c r="L10" s="30" t="s">
        <v>64</v>
      </c>
      <c r="M10" s="57">
        <v>1</v>
      </c>
      <c r="N10" s="30" t="s">
        <v>273</v>
      </c>
      <c r="O10" s="30">
        <v>1</v>
      </c>
      <c r="P10" s="31"/>
      <c r="U10" s="30"/>
      <c r="V10" s="30"/>
      <c r="W10" s="7"/>
      <c r="Y10" s="33"/>
      <c r="Z10" s="33"/>
    </row>
    <row r="11" spans="1:26" ht="24" x14ac:dyDescent="0.3">
      <c r="A11" s="8" t="s">
        <v>20</v>
      </c>
      <c r="B11" s="11">
        <v>2008</v>
      </c>
      <c r="C11" s="17">
        <f t="shared" si="1"/>
        <v>5</v>
      </c>
      <c r="D11" s="17" t="str">
        <f t="shared" si="0"/>
        <v>Yes</v>
      </c>
      <c r="E11" s="31" t="s">
        <v>52</v>
      </c>
      <c r="F11" s="30" t="s">
        <v>395</v>
      </c>
      <c r="G11" s="30">
        <v>1</v>
      </c>
      <c r="H11" s="30" t="s">
        <v>413</v>
      </c>
      <c r="I11" s="30">
        <v>1</v>
      </c>
      <c r="J11" s="30" t="s">
        <v>196</v>
      </c>
      <c r="K11" s="30">
        <v>1</v>
      </c>
      <c r="L11" s="30" t="s">
        <v>64</v>
      </c>
      <c r="M11" s="57">
        <v>1</v>
      </c>
      <c r="N11" s="30" t="s">
        <v>273</v>
      </c>
      <c r="O11" s="30">
        <v>1</v>
      </c>
      <c r="P11" s="31"/>
      <c r="Q11" s="57"/>
      <c r="T11" s="7"/>
      <c r="U11" s="7"/>
      <c r="V11" s="21" t="s">
        <v>43</v>
      </c>
    </row>
    <row r="12" spans="1:26" ht="60" x14ac:dyDescent="0.3">
      <c r="A12" s="8" t="s">
        <v>21</v>
      </c>
      <c r="B12" s="11">
        <v>2014</v>
      </c>
      <c r="C12" s="17">
        <f t="shared" si="1"/>
        <v>5</v>
      </c>
      <c r="D12" s="17" t="str">
        <f t="shared" si="0"/>
        <v>Yes</v>
      </c>
      <c r="E12" s="31" t="s">
        <v>54</v>
      </c>
      <c r="F12" s="30" t="s">
        <v>396</v>
      </c>
      <c r="G12" s="30">
        <v>1</v>
      </c>
      <c r="H12" s="30" t="s">
        <v>164</v>
      </c>
      <c r="I12" s="30">
        <v>1</v>
      </c>
      <c r="J12" s="30" t="s">
        <v>116</v>
      </c>
      <c r="K12" s="30">
        <v>1</v>
      </c>
      <c r="L12" s="30" t="s">
        <v>66</v>
      </c>
      <c r="M12" s="57">
        <v>1</v>
      </c>
      <c r="N12" s="30" t="s">
        <v>477</v>
      </c>
      <c r="O12" s="30">
        <v>1</v>
      </c>
      <c r="P12" s="31"/>
      <c r="U12" s="30"/>
      <c r="V12" s="30"/>
      <c r="W12" s="7"/>
      <c r="X12" s="62"/>
      <c r="Y12" s="30"/>
      <c r="Z12" s="30"/>
    </row>
    <row r="13" spans="1:26" ht="60" x14ac:dyDescent="0.3">
      <c r="A13" s="9" t="s">
        <v>22</v>
      </c>
      <c r="B13" s="11">
        <v>2015</v>
      </c>
      <c r="C13" s="17">
        <f t="shared" si="1"/>
        <v>5</v>
      </c>
      <c r="D13" s="17" t="str">
        <f t="shared" si="0"/>
        <v>Yes</v>
      </c>
      <c r="E13" s="31" t="s">
        <v>56</v>
      </c>
      <c r="F13" s="30" t="s">
        <v>341</v>
      </c>
      <c r="G13" s="30">
        <v>1</v>
      </c>
      <c r="H13" s="30" t="s">
        <v>167</v>
      </c>
      <c r="I13" s="30">
        <v>1</v>
      </c>
      <c r="J13" s="30" t="s">
        <v>258</v>
      </c>
      <c r="K13" s="30">
        <v>1</v>
      </c>
      <c r="L13" s="30" t="s">
        <v>64</v>
      </c>
      <c r="M13" s="57">
        <v>1</v>
      </c>
      <c r="N13" s="30" t="s">
        <v>440</v>
      </c>
      <c r="O13" s="30">
        <v>1</v>
      </c>
      <c r="P13" s="31"/>
      <c r="U13" s="30"/>
      <c r="V13" s="30"/>
      <c r="W13" s="7"/>
      <c r="Y13" s="33"/>
      <c r="Z13" s="33"/>
    </row>
    <row r="14" spans="1:26" ht="60" x14ac:dyDescent="0.3">
      <c r="A14" s="9" t="s">
        <v>23</v>
      </c>
      <c r="B14" s="11">
        <v>2014</v>
      </c>
      <c r="C14" s="17">
        <f t="shared" si="1"/>
        <v>5</v>
      </c>
      <c r="D14" s="17" t="str">
        <f t="shared" si="0"/>
        <v>Yes</v>
      </c>
      <c r="E14" s="31" t="s">
        <v>58</v>
      </c>
      <c r="F14" s="30" t="s">
        <v>434</v>
      </c>
      <c r="G14" s="30">
        <v>1</v>
      </c>
      <c r="H14" s="30" t="s">
        <v>163</v>
      </c>
      <c r="I14" s="30">
        <v>1</v>
      </c>
      <c r="J14" s="30" t="s">
        <v>257</v>
      </c>
      <c r="K14" s="30">
        <v>1</v>
      </c>
      <c r="L14" s="30" t="s">
        <v>64</v>
      </c>
      <c r="M14" s="57">
        <v>1</v>
      </c>
      <c r="N14" s="30" t="s">
        <v>446</v>
      </c>
      <c r="O14" s="30">
        <v>1</v>
      </c>
      <c r="P14" s="31"/>
      <c r="R14" s="30" t="s">
        <v>275</v>
      </c>
      <c r="U14" s="30"/>
      <c r="V14" s="30"/>
      <c r="W14" s="30"/>
      <c r="Y14" s="30"/>
      <c r="Z14" s="30"/>
    </row>
    <row r="15" spans="1:26" x14ac:dyDescent="0.3">
      <c r="A15" s="8" t="s">
        <v>100</v>
      </c>
      <c r="B15" s="11">
        <v>2012</v>
      </c>
      <c r="C15" s="17">
        <f t="shared" si="1"/>
        <v>4</v>
      </c>
      <c r="D15" s="17" t="str">
        <f t="shared" si="0"/>
        <v>Yes</v>
      </c>
      <c r="E15" s="31" t="s">
        <v>107</v>
      </c>
      <c r="F15" s="30" t="s">
        <v>358</v>
      </c>
      <c r="G15" s="30">
        <v>0</v>
      </c>
      <c r="H15" s="30" t="s">
        <v>166</v>
      </c>
      <c r="I15" s="30">
        <v>1</v>
      </c>
      <c r="J15" s="30" t="s">
        <v>198</v>
      </c>
      <c r="K15" s="30">
        <v>1</v>
      </c>
      <c r="L15" s="30" t="s">
        <v>64</v>
      </c>
      <c r="M15" s="57">
        <v>1</v>
      </c>
      <c r="N15" s="30" t="s">
        <v>273</v>
      </c>
      <c r="O15" s="30">
        <v>1</v>
      </c>
      <c r="P15" s="31"/>
      <c r="U15" s="30"/>
      <c r="V15" s="30"/>
      <c r="W15" s="7"/>
      <c r="Y15" s="30"/>
      <c r="Z15" s="30"/>
    </row>
    <row r="16" spans="1:26" ht="36" x14ac:dyDescent="0.3">
      <c r="A16" s="9" t="s">
        <v>123</v>
      </c>
      <c r="B16" s="11">
        <v>2018</v>
      </c>
      <c r="C16" s="17">
        <f t="shared" si="1"/>
        <v>5</v>
      </c>
      <c r="D16" s="17" t="str">
        <f t="shared" si="0"/>
        <v>Yes</v>
      </c>
      <c r="E16" s="31" t="s">
        <v>136</v>
      </c>
      <c r="F16" s="30" t="s">
        <v>394</v>
      </c>
      <c r="G16" s="30">
        <v>1</v>
      </c>
      <c r="H16" s="30" t="s">
        <v>47</v>
      </c>
      <c r="I16" s="30">
        <v>1</v>
      </c>
      <c r="J16" s="30" t="s">
        <v>255</v>
      </c>
      <c r="K16" s="30">
        <v>1</v>
      </c>
      <c r="L16" s="30" t="s">
        <v>64</v>
      </c>
      <c r="M16" s="57">
        <v>1</v>
      </c>
      <c r="N16" s="30" t="s">
        <v>447</v>
      </c>
      <c r="O16" s="30">
        <v>1</v>
      </c>
      <c r="P16" s="31"/>
      <c r="R16" s="30" t="s">
        <v>137</v>
      </c>
      <c r="S16" s="41"/>
      <c r="U16" s="30"/>
      <c r="V16" s="30"/>
      <c r="W16" s="7"/>
      <c r="Y16" s="30"/>
      <c r="Z16" s="30"/>
    </row>
    <row r="17" spans="1:39" ht="36" x14ac:dyDescent="0.3">
      <c r="A17" s="9" t="s">
        <v>24</v>
      </c>
      <c r="B17" s="11">
        <v>2011</v>
      </c>
      <c r="C17" s="17">
        <f t="shared" si="1"/>
        <v>5</v>
      </c>
      <c r="D17" s="17" t="str">
        <f t="shared" si="0"/>
        <v>Yes</v>
      </c>
      <c r="E17" s="31" t="s">
        <v>162</v>
      </c>
      <c r="F17" s="30" t="s">
        <v>296</v>
      </c>
      <c r="G17" s="30">
        <v>1</v>
      </c>
      <c r="H17" s="30" t="s">
        <v>167</v>
      </c>
      <c r="I17" s="30">
        <v>1</v>
      </c>
      <c r="J17" s="30" t="s">
        <v>256</v>
      </c>
      <c r="K17" s="30">
        <v>1</v>
      </c>
      <c r="L17" s="30" t="s">
        <v>64</v>
      </c>
      <c r="M17" s="57">
        <v>1</v>
      </c>
      <c r="N17" s="30" t="s">
        <v>441</v>
      </c>
      <c r="O17" s="30">
        <v>1</v>
      </c>
      <c r="P17" s="31"/>
      <c r="U17" s="30"/>
      <c r="V17" s="30"/>
      <c r="W17" s="7"/>
      <c r="Y17" s="30"/>
      <c r="Z17" s="30"/>
    </row>
    <row r="18" spans="1:39" ht="60" x14ac:dyDescent="0.3">
      <c r="A18" s="9" t="s">
        <v>25</v>
      </c>
      <c r="B18" s="11">
        <v>2014</v>
      </c>
      <c r="C18" s="17">
        <f t="shared" si="1"/>
        <v>4</v>
      </c>
      <c r="D18" s="17" t="str">
        <f t="shared" si="0"/>
        <v>Yes</v>
      </c>
      <c r="E18" s="31" t="s">
        <v>62</v>
      </c>
      <c r="F18" s="30" t="s">
        <v>358</v>
      </c>
      <c r="G18" s="30">
        <v>0</v>
      </c>
      <c r="H18" s="30" t="s">
        <v>163</v>
      </c>
      <c r="I18" s="30">
        <v>1</v>
      </c>
      <c r="J18" s="30" t="s">
        <v>483</v>
      </c>
      <c r="K18" s="30">
        <v>1</v>
      </c>
      <c r="L18" s="30" t="s">
        <v>64</v>
      </c>
      <c r="M18" s="57">
        <v>1</v>
      </c>
      <c r="N18" s="30" t="s">
        <v>279</v>
      </c>
      <c r="O18" s="30">
        <v>1</v>
      </c>
      <c r="P18" s="31"/>
      <c r="U18" s="30"/>
      <c r="V18" s="30"/>
      <c r="W18" s="7"/>
      <c r="Y18" s="33"/>
      <c r="Z18" s="33"/>
    </row>
    <row r="19" spans="1:39" ht="36" x14ac:dyDescent="0.3">
      <c r="A19" s="9" t="s">
        <v>26</v>
      </c>
      <c r="B19" s="11">
        <v>2014</v>
      </c>
      <c r="C19" s="17">
        <f t="shared" si="1"/>
        <v>5</v>
      </c>
      <c r="D19" s="17" t="str">
        <f t="shared" si="0"/>
        <v>Yes</v>
      </c>
      <c r="E19" s="31" t="s">
        <v>63</v>
      </c>
      <c r="F19" s="30" t="s">
        <v>296</v>
      </c>
      <c r="G19" s="30">
        <v>1</v>
      </c>
      <c r="H19" s="30" t="s">
        <v>47</v>
      </c>
      <c r="I19" s="30">
        <v>1</v>
      </c>
      <c r="J19" s="30" t="s">
        <v>259</v>
      </c>
      <c r="K19" s="30">
        <v>1</v>
      </c>
      <c r="L19" s="30" t="s">
        <v>64</v>
      </c>
      <c r="M19" s="57">
        <v>1</v>
      </c>
      <c r="N19" s="30" t="s">
        <v>273</v>
      </c>
      <c r="O19" s="30">
        <v>1</v>
      </c>
      <c r="P19" s="31"/>
      <c r="U19" s="30"/>
      <c r="V19" s="30"/>
      <c r="W19" s="7"/>
      <c r="Y19" s="30"/>
      <c r="Z19" s="30"/>
    </row>
    <row r="20" spans="1:39" ht="36" x14ac:dyDescent="0.3">
      <c r="A20" s="9" t="s">
        <v>124</v>
      </c>
      <c r="B20" s="11">
        <v>2018</v>
      </c>
      <c r="C20" s="17">
        <f t="shared" si="1"/>
        <v>5</v>
      </c>
      <c r="D20" s="17" t="str">
        <f t="shared" si="0"/>
        <v>Yes</v>
      </c>
      <c r="E20" s="31" t="s">
        <v>48</v>
      </c>
      <c r="F20" s="30" t="s">
        <v>397</v>
      </c>
      <c r="G20" s="30">
        <v>1</v>
      </c>
      <c r="H20" s="30" t="s">
        <v>166</v>
      </c>
      <c r="I20" s="30">
        <v>1</v>
      </c>
      <c r="J20" s="30" t="s">
        <v>261</v>
      </c>
      <c r="K20" s="30">
        <v>1</v>
      </c>
      <c r="L20" s="30" t="s">
        <v>66</v>
      </c>
      <c r="M20" s="57">
        <v>1</v>
      </c>
      <c r="N20" s="30" t="s">
        <v>442</v>
      </c>
      <c r="O20" s="30">
        <v>1</v>
      </c>
      <c r="P20" s="31"/>
      <c r="S20" s="41"/>
      <c r="U20" s="30"/>
      <c r="V20" s="30"/>
      <c r="W20" s="7"/>
      <c r="Y20" s="33"/>
      <c r="Z20" s="33"/>
    </row>
    <row r="21" spans="1:39" ht="36" x14ac:dyDescent="0.3">
      <c r="A21" s="9" t="s">
        <v>125</v>
      </c>
      <c r="B21" s="11">
        <v>2018</v>
      </c>
      <c r="C21" s="17">
        <f t="shared" si="1"/>
        <v>5</v>
      </c>
      <c r="D21" s="17" t="str">
        <f t="shared" si="0"/>
        <v>Yes</v>
      </c>
      <c r="E21" s="31" t="s">
        <v>139</v>
      </c>
      <c r="F21" s="30" t="s">
        <v>398</v>
      </c>
      <c r="G21" s="30">
        <v>1</v>
      </c>
      <c r="H21" s="30" t="s">
        <v>163</v>
      </c>
      <c r="I21" s="30">
        <v>1</v>
      </c>
      <c r="J21" s="30" t="s">
        <v>198</v>
      </c>
      <c r="K21" s="30">
        <v>1</v>
      </c>
      <c r="L21" s="30" t="s">
        <v>66</v>
      </c>
      <c r="M21" s="57">
        <v>1</v>
      </c>
      <c r="N21" s="30" t="s">
        <v>422</v>
      </c>
      <c r="O21" s="30">
        <v>1</v>
      </c>
      <c r="P21" s="31"/>
      <c r="S21" s="41"/>
      <c r="U21" s="30"/>
      <c r="V21" s="30"/>
      <c r="W21" s="30"/>
      <c r="Y21" s="30"/>
      <c r="Z21" s="30"/>
    </row>
    <row r="22" spans="1:39" ht="60" x14ac:dyDescent="0.3">
      <c r="A22" s="9" t="s">
        <v>27</v>
      </c>
      <c r="B22" s="11">
        <v>2017</v>
      </c>
      <c r="C22" s="17">
        <f t="shared" si="1"/>
        <v>5</v>
      </c>
      <c r="D22" s="17" t="str">
        <f t="shared" si="0"/>
        <v>Yes</v>
      </c>
      <c r="E22" s="31" t="s">
        <v>436</v>
      </c>
      <c r="F22" s="30" t="s">
        <v>296</v>
      </c>
      <c r="G22" s="30">
        <v>1</v>
      </c>
      <c r="H22" s="30" t="s">
        <v>163</v>
      </c>
      <c r="I22" s="30">
        <v>1</v>
      </c>
      <c r="J22" s="30" t="s">
        <v>492</v>
      </c>
      <c r="K22" s="30">
        <v>1</v>
      </c>
      <c r="L22" s="30" t="s">
        <v>64</v>
      </c>
      <c r="M22" s="57">
        <v>1</v>
      </c>
      <c r="N22" s="30" t="s">
        <v>440</v>
      </c>
      <c r="O22" s="30">
        <v>1</v>
      </c>
      <c r="P22" s="31"/>
      <c r="U22" s="30"/>
      <c r="V22" s="30"/>
      <c r="W22" s="7"/>
      <c r="Y22" s="30"/>
      <c r="Z22" s="30"/>
    </row>
    <row r="23" spans="1:39" ht="24" x14ac:dyDescent="0.3">
      <c r="A23" s="9" t="s">
        <v>126</v>
      </c>
      <c r="B23" s="11">
        <v>2018</v>
      </c>
      <c r="C23" s="17">
        <f t="shared" si="1"/>
        <v>4</v>
      </c>
      <c r="D23" s="17" t="str">
        <f t="shared" si="0"/>
        <v>Yes</v>
      </c>
      <c r="E23" s="31" t="s">
        <v>143</v>
      </c>
      <c r="F23" s="30" t="s">
        <v>399</v>
      </c>
      <c r="G23" s="30">
        <v>1</v>
      </c>
      <c r="H23" s="30" t="s">
        <v>166</v>
      </c>
      <c r="I23" s="30">
        <v>1</v>
      </c>
      <c r="J23" s="30" t="s">
        <v>198</v>
      </c>
      <c r="K23" s="30">
        <v>1</v>
      </c>
      <c r="L23" s="30" t="s">
        <v>66</v>
      </c>
      <c r="M23" s="57">
        <v>1</v>
      </c>
      <c r="N23" s="30" t="s">
        <v>424</v>
      </c>
      <c r="O23" s="30">
        <v>0</v>
      </c>
      <c r="P23" s="30" t="s">
        <v>423</v>
      </c>
      <c r="S23" s="41"/>
      <c r="U23" s="30"/>
      <c r="V23" s="30"/>
      <c r="W23" s="7"/>
      <c r="Y23" s="30"/>
      <c r="Z23" s="30"/>
    </row>
    <row r="24" spans="1:39" s="8" customFormat="1" ht="60" x14ac:dyDescent="0.3">
      <c r="A24" s="9" t="s">
        <v>101</v>
      </c>
      <c r="B24" s="11">
        <v>2015</v>
      </c>
      <c r="C24" s="17">
        <f t="shared" si="1"/>
        <v>5</v>
      </c>
      <c r="D24" s="17" t="str">
        <f t="shared" si="0"/>
        <v>Yes</v>
      </c>
      <c r="E24" s="31" t="s">
        <v>381</v>
      </c>
      <c r="F24" s="30" t="s">
        <v>400</v>
      </c>
      <c r="G24" s="30">
        <v>1</v>
      </c>
      <c r="H24" s="30" t="s">
        <v>47</v>
      </c>
      <c r="I24" s="30">
        <v>1</v>
      </c>
      <c r="J24" s="30" t="s">
        <v>414</v>
      </c>
      <c r="K24" s="30">
        <v>1</v>
      </c>
      <c r="L24" s="30" t="s">
        <v>64</v>
      </c>
      <c r="M24" s="57">
        <v>1</v>
      </c>
      <c r="N24" s="30" t="s">
        <v>448</v>
      </c>
      <c r="O24" s="30">
        <v>1</v>
      </c>
      <c r="P24" s="31"/>
      <c r="R24" s="30"/>
      <c r="S24" s="41"/>
      <c r="T24"/>
      <c r="U24"/>
      <c r="V24"/>
      <c r="W24"/>
      <c r="X24"/>
      <c r="Y24"/>
      <c r="Z24"/>
      <c r="AA24"/>
      <c r="AB24"/>
      <c r="AC24"/>
      <c r="AD24" s="2"/>
      <c r="AE24" s="2"/>
      <c r="AF24" s="2"/>
      <c r="AG24" s="2"/>
      <c r="AH24" s="2"/>
      <c r="AI24" s="2"/>
      <c r="AJ24" s="2"/>
      <c r="AK24" s="2"/>
      <c r="AL24" s="2"/>
      <c r="AM24" s="2"/>
    </row>
    <row r="25" spans="1:39" ht="36" x14ac:dyDescent="0.3">
      <c r="A25" s="9" t="s">
        <v>28</v>
      </c>
      <c r="B25" s="11">
        <v>2013</v>
      </c>
      <c r="C25" s="17">
        <f t="shared" si="1"/>
        <v>5</v>
      </c>
      <c r="D25" s="17" t="str">
        <f t="shared" si="0"/>
        <v>Yes</v>
      </c>
      <c r="E25" s="31" t="s">
        <v>139</v>
      </c>
      <c r="F25" s="30" t="s">
        <v>401</v>
      </c>
      <c r="G25" s="30">
        <v>1</v>
      </c>
      <c r="H25" s="30" t="s">
        <v>166</v>
      </c>
      <c r="I25" s="30">
        <v>1</v>
      </c>
      <c r="J25" s="30" t="s">
        <v>257</v>
      </c>
      <c r="K25" s="30">
        <v>1</v>
      </c>
      <c r="L25" s="30" t="s">
        <v>66</v>
      </c>
      <c r="M25" s="57">
        <v>1</v>
      </c>
      <c r="N25" s="30" t="s">
        <v>412</v>
      </c>
      <c r="O25" s="30">
        <v>1</v>
      </c>
      <c r="P25" s="31"/>
      <c r="U25" s="30"/>
      <c r="V25" s="30"/>
      <c r="W25" s="30"/>
      <c r="X25" s="62"/>
      <c r="Y25" s="30"/>
      <c r="Z25" s="30"/>
    </row>
    <row r="26" spans="1:39" ht="36" x14ac:dyDescent="0.3">
      <c r="A26" s="9" t="s">
        <v>127</v>
      </c>
      <c r="B26" s="11">
        <v>2018</v>
      </c>
      <c r="C26" s="17">
        <f t="shared" si="1"/>
        <v>5</v>
      </c>
      <c r="D26" s="17" t="str">
        <f t="shared" si="0"/>
        <v>Yes</v>
      </c>
      <c r="E26" s="31" t="s">
        <v>80</v>
      </c>
      <c r="F26" s="30" t="s">
        <v>359</v>
      </c>
      <c r="G26" s="30">
        <v>1</v>
      </c>
      <c r="H26" s="30" t="s">
        <v>243</v>
      </c>
      <c r="I26" s="30">
        <v>1</v>
      </c>
      <c r="J26" s="30" t="s">
        <v>444</v>
      </c>
      <c r="K26" s="30">
        <v>1</v>
      </c>
      <c r="L26" s="30" t="s">
        <v>66</v>
      </c>
      <c r="M26" s="57">
        <v>1</v>
      </c>
      <c r="N26" s="30" t="s">
        <v>281</v>
      </c>
      <c r="O26" s="30">
        <v>1</v>
      </c>
      <c r="P26" s="31"/>
      <c r="S26" s="41"/>
      <c r="U26" s="30"/>
      <c r="V26" s="30"/>
      <c r="W26" s="30"/>
      <c r="Y26" s="33"/>
      <c r="Z26" s="33"/>
    </row>
    <row r="27" spans="1:39" ht="60" x14ac:dyDescent="0.3">
      <c r="A27" s="9" t="s">
        <v>308</v>
      </c>
      <c r="B27" s="11">
        <v>2018</v>
      </c>
      <c r="C27" s="17">
        <f t="shared" si="1"/>
        <v>4</v>
      </c>
      <c r="D27" s="17" t="str">
        <f t="shared" si="0"/>
        <v>Yes</v>
      </c>
      <c r="E27" s="31" t="s">
        <v>107</v>
      </c>
      <c r="F27" s="30" t="s">
        <v>358</v>
      </c>
      <c r="G27" s="30">
        <v>0</v>
      </c>
      <c r="H27" s="30" t="s">
        <v>166</v>
      </c>
      <c r="I27" s="30">
        <v>1</v>
      </c>
      <c r="J27" s="30" t="s">
        <v>415</v>
      </c>
      <c r="K27" s="30">
        <v>1</v>
      </c>
      <c r="L27" s="30" t="s">
        <v>65</v>
      </c>
      <c r="M27" s="57">
        <v>1</v>
      </c>
      <c r="N27" s="30" t="s">
        <v>416</v>
      </c>
      <c r="O27" s="30">
        <v>1</v>
      </c>
      <c r="P27" s="31"/>
      <c r="R27" s="30" t="s">
        <v>321</v>
      </c>
    </row>
    <row r="28" spans="1:39" x14ac:dyDescent="0.3">
      <c r="A28" s="9" t="s">
        <v>309</v>
      </c>
      <c r="B28" s="11">
        <v>2016</v>
      </c>
      <c r="C28" s="17">
        <f t="shared" si="1"/>
        <v>4</v>
      </c>
      <c r="D28" s="17" t="str">
        <f t="shared" si="0"/>
        <v>Yes</v>
      </c>
      <c r="E28" s="31" t="s">
        <v>80</v>
      </c>
      <c r="F28" s="30" t="s">
        <v>358</v>
      </c>
      <c r="G28" s="30">
        <v>0</v>
      </c>
      <c r="H28" s="30" t="s">
        <v>242</v>
      </c>
      <c r="I28" s="30">
        <v>1</v>
      </c>
      <c r="J28" s="30" t="s">
        <v>417</v>
      </c>
      <c r="K28" s="30">
        <v>1</v>
      </c>
      <c r="L28" s="30" t="s">
        <v>65</v>
      </c>
      <c r="M28" s="57">
        <v>1</v>
      </c>
      <c r="N28" s="30" t="s">
        <v>273</v>
      </c>
      <c r="O28" s="30">
        <v>1</v>
      </c>
      <c r="P28" s="31"/>
    </row>
    <row r="29" spans="1:39" ht="36" x14ac:dyDescent="0.3">
      <c r="A29" s="9" t="s">
        <v>128</v>
      </c>
      <c r="B29" s="11">
        <v>2016</v>
      </c>
      <c r="C29" s="17">
        <f t="shared" si="1"/>
        <v>5</v>
      </c>
      <c r="D29" s="17" t="str">
        <f t="shared" si="0"/>
        <v>Yes</v>
      </c>
      <c r="E29" s="31" t="s">
        <v>70</v>
      </c>
      <c r="F29" s="30" t="s">
        <v>402</v>
      </c>
      <c r="G29" s="30">
        <v>1</v>
      </c>
      <c r="H29" s="30" t="s">
        <v>166</v>
      </c>
      <c r="I29" s="30">
        <v>1</v>
      </c>
      <c r="J29" s="30" t="s">
        <v>262</v>
      </c>
      <c r="K29" s="30">
        <v>1</v>
      </c>
      <c r="L29" s="30" t="s">
        <v>66</v>
      </c>
      <c r="M29" s="57">
        <v>1</v>
      </c>
      <c r="N29" s="30" t="s">
        <v>283</v>
      </c>
      <c r="O29" s="30">
        <v>1</v>
      </c>
      <c r="P29" s="31"/>
      <c r="T29" s="38"/>
      <c r="U29" s="30"/>
      <c r="V29" s="30"/>
      <c r="W29" s="30"/>
      <c r="X29" s="62"/>
      <c r="Y29" s="30"/>
      <c r="Z29" s="30"/>
      <c r="AD29" s="39"/>
      <c r="AE29" s="39"/>
      <c r="AF29" s="39"/>
      <c r="AG29" s="39"/>
      <c r="AH29" s="39"/>
      <c r="AI29" s="39"/>
      <c r="AJ29" s="39"/>
      <c r="AK29" s="39"/>
      <c r="AL29" s="39"/>
      <c r="AM29" s="39"/>
    </row>
    <row r="30" spans="1:39" ht="36" x14ac:dyDescent="0.3">
      <c r="A30" s="9" t="s">
        <v>128</v>
      </c>
      <c r="B30" s="11">
        <v>2018</v>
      </c>
      <c r="C30" s="17">
        <f t="shared" si="1"/>
        <v>5</v>
      </c>
      <c r="D30" s="17" t="str">
        <f t="shared" si="0"/>
        <v>Yes</v>
      </c>
      <c r="E30" s="31" t="s">
        <v>151</v>
      </c>
      <c r="F30" s="30" t="s">
        <v>410</v>
      </c>
      <c r="G30" s="30">
        <v>1</v>
      </c>
      <c r="H30" s="30" t="s">
        <v>166</v>
      </c>
      <c r="I30" s="30">
        <v>1</v>
      </c>
      <c r="J30" s="30" t="s">
        <v>200</v>
      </c>
      <c r="K30" s="30">
        <v>1</v>
      </c>
      <c r="L30" s="30" t="s">
        <v>65</v>
      </c>
      <c r="M30" s="57">
        <v>1</v>
      </c>
      <c r="N30" s="30" t="s">
        <v>421</v>
      </c>
      <c r="O30" s="30">
        <v>1</v>
      </c>
      <c r="P30" s="31"/>
      <c r="S30" s="41"/>
      <c r="U30" s="30"/>
      <c r="V30" s="30"/>
      <c r="W30" s="30"/>
      <c r="Y30" s="30"/>
      <c r="Z30" s="30"/>
    </row>
    <row r="31" spans="1:39" x14ac:dyDescent="0.3">
      <c r="A31" s="9" t="s">
        <v>29</v>
      </c>
      <c r="B31" s="11">
        <v>2016</v>
      </c>
      <c r="C31" s="17">
        <f t="shared" si="1"/>
        <v>5</v>
      </c>
      <c r="D31" s="17" t="str">
        <f t="shared" si="0"/>
        <v>Yes</v>
      </c>
      <c r="E31" s="31" t="s">
        <v>73</v>
      </c>
      <c r="F31" s="30" t="s">
        <v>403</v>
      </c>
      <c r="G31" s="30">
        <v>1</v>
      </c>
      <c r="H31" s="30" t="s">
        <v>163</v>
      </c>
      <c r="I31" s="30">
        <v>1</v>
      </c>
      <c r="J31" s="30" t="s">
        <v>207</v>
      </c>
      <c r="K31" s="30">
        <v>1</v>
      </c>
      <c r="L31" s="30" t="s">
        <v>66</v>
      </c>
      <c r="M31" s="57">
        <v>1</v>
      </c>
      <c r="N31" s="30" t="s">
        <v>273</v>
      </c>
      <c r="O31" s="30">
        <v>1</v>
      </c>
      <c r="P31" s="31"/>
      <c r="U31" s="30"/>
      <c r="V31" s="30"/>
      <c r="W31" s="30"/>
      <c r="Y31" s="33"/>
      <c r="Z31" s="33"/>
    </row>
    <row r="32" spans="1:39" ht="60" x14ac:dyDescent="0.3">
      <c r="A32" s="9" t="s">
        <v>30</v>
      </c>
      <c r="B32" s="11">
        <v>2016</v>
      </c>
      <c r="C32" s="17">
        <f t="shared" si="1"/>
        <v>5</v>
      </c>
      <c r="D32" s="17" t="str">
        <f t="shared" si="0"/>
        <v>Yes</v>
      </c>
      <c r="E32" s="31" t="s">
        <v>78</v>
      </c>
      <c r="F32" s="30" t="s">
        <v>404</v>
      </c>
      <c r="G32" s="30">
        <v>1</v>
      </c>
      <c r="H32" s="30" t="s">
        <v>165</v>
      </c>
      <c r="I32" s="30">
        <v>1</v>
      </c>
      <c r="J32" s="30" t="s">
        <v>201</v>
      </c>
      <c r="K32" s="30">
        <v>1</v>
      </c>
      <c r="L32" s="30" t="s">
        <v>66</v>
      </c>
      <c r="M32" s="57">
        <v>1</v>
      </c>
      <c r="N32" s="30" t="s">
        <v>475</v>
      </c>
      <c r="O32" s="30">
        <v>1</v>
      </c>
      <c r="P32" s="31"/>
      <c r="U32" s="30"/>
      <c r="V32" s="30"/>
      <c r="W32" s="30"/>
      <c r="Y32" s="33"/>
      <c r="Z32" s="33"/>
    </row>
    <row r="33" spans="1:39" ht="36" x14ac:dyDescent="0.3">
      <c r="A33" s="9" t="s">
        <v>31</v>
      </c>
      <c r="B33" s="11">
        <v>2016</v>
      </c>
      <c r="C33" s="17">
        <f t="shared" si="1"/>
        <v>5</v>
      </c>
      <c r="D33" s="17" t="str">
        <f t="shared" si="0"/>
        <v>Yes</v>
      </c>
      <c r="E33" s="31" t="s">
        <v>80</v>
      </c>
      <c r="F33" s="30" t="s">
        <v>405</v>
      </c>
      <c r="G33" s="30">
        <v>1</v>
      </c>
      <c r="H33" s="30" t="s">
        <v>164</v>
      </c>
      <c r="I33" s="30">
        <v>1</v>
      </c>
      <c r="J33" s="30" t="s">
        <v>117</v>
      </c>
      <c r="K33" s="30">
        <v>1</v>
      </c>
      <c r="L33" s="30" t="s">
        <v>64</v>
      </c>
      <c r="M33" s="57">
        <v>1</v>
      </c>
      <c r="N33" s="30" t="s">
        <v>443</v>
      </c>
      <c r="O33" s="30">
        <v>1</v>
      </c>
      <c r="P33" s="31"/>
      <c r="U33" s="30"/>
      <c r="V33" s="30"/>
      <c r="W33" s="30"/>
      <c r="Y33" s="33"/>
      <c r="Z33" s="33"/>
    </row>
    <row r="34" spans="1:39" x14ac:dyDescent="0.3">
      <c r="A34" s="9" t="s">
        <v>310</v>
      </c>
      <c r="B34" s="11">
        <v>2013</v>
      </c>
      <c r="C34" s="17">
        <f t="shared" si="1"/>
        <v>4</v>
      </c>
      <c r="D34" s="17" t="str">
        <f t="shared" si="0"/>
        <v>Yes</v>
      </c>
      <c r="E34" s="31" t="s">
        <v>80</v>
      </c>
      <c r="F34" s="30" t="s">
        <v>358</v>
      </c>
      <c r="G34" s="30">
        <v>0</v>
      </c>
      <c r="H34" s="30" t="s">
        <v>113</v>
      </c>
      <c r="I34" s="30">
        <v>1</v>
      </c>
      <c r="J34" s="30" t="s">
        <v>418</v>
      </c>
      <c r="K34" s="30">
        <v>1</v>
      </c>
      <c r="L34" s="30" t="s">
        <v>121</v>
      </c>
      <c r="M34" s="57">
        <v>1</v>
      </c>
      <c r="N34" s="30" t="s">
        <v>273</v>
      </c>
      <c r="O34" s="30">
        <v>1</v>
      </c>
      <c r="P34" s="31"/>
    </row>
    <row r="35" spans="1:39" ht="84.6" thickBot="1" x14ac:dyDescent="0.35">
      <c r="A35" s="9" t="s">
        <v>103</v>
      </c>
      <c r="B35" s="11">
        <v>2010</v>
      </c>
      <c r="C35" s="17">
        <f t="shared" si="1"/>
        <v>5</v>
      </c>
      <c r="D35" s="17" t="str">
        <f t="shared" si="0"/>
        <v>Yes</v>
      </c>
      <c r="E35" s="31" t="s">
        <v>110</v>
      </c>
      <c r="F35" s="30" t="s">
        <v>393</v>
      </c>
      <c r="G35" s="30">
        <v>1</v>
      </c>
      <c r="H35" s="30" t="s">
        <v>47</v>
      </c>
      <c r="I35" s="30">
        <v>1</v>
      </c>
      <c r="J35" s="30" t="s">
        <v>419</v>
      </c>
      <c r="K35" s="30">
        <v>1</v>
      </c>
      <c r="L35" s="30" t="s">
        <v>64</v>
      </c>
      <c r="M35" s="57">
        <v>1</v>
      </c>
      <c r="N35" s="53" t="s">
        <v>458</v>
      </c>
      <c r="O35" s="30">
        <v>1</v>
      </c>
      <c r="P35" s="31"/>
      <c r="T35" s="7"/>
      <c r="U35" s="20"/>
      <c r="V35" s="20"/>
      <c r="W35" s="20"/>
      <c r="X35" s="7"/>
      <c r="Y35" s="1"/>
      <c r="Z35" s="20"/>
      <c r="AA35" s="7"/>
      <c r="AD35" s="30"/>
      <c r="AE35" s="39"/>
      <c r="AF35" s="39"/>
      <c r="AG35" s="39"/>
      <c r="AH35" s="39"/>
      <c r="AI35" s="39"/>
      <c r="AJ35" s="39"/>
      <c r="AK35" s="39"/>
      <c r="AL35" s="39"/>
      <c r="AM35" s="39"/>
    </row>
    <row r="36" spans="1:39" x14ac:dyDescent="0.3">
      <c r="A36" s="9" t="s">
        <v>32</v>
      </c>
      <c r="B36" s="11">
        <v>2014</v>
      </c>
      <c r="C36" s="17">
        <f t="shared" si="1"/>
        <v>4</v>
      </c>
      <c r="D36" s="17" t="str">
        <f t="shared" si="0"/>
        <v>Yes</v>
      </c>
      <c r="E36" s="31" t="s">
        <v>81</v>
      </c>
      <c r="F36" s="30" t="s">
        <v>358</v>
      </c>
      <c r="G36" s="30">
        <v>0</v>
      </c>
      <c r="H36" s="30" t="s">
        <v>167</v>
      </c>
      <c r="I36" s="30">
        <v>1</v>
      </c>
      <c r="J36" s="30" t="s">
        <v>202</v>
      </c>
      <c r="K36" s="30">
        <v>1</v>
      </c>
      <c r="L36" s="30" t="s">
        <v>64</v>
      </c>
      <c r="M36" s="57">
        <v>1</v>
      </c>
      <c r="N36" s="30" t="s">
        <v>449</v>
      </c>
      <c r="O36" s="30">
        <v>1</v>
      </c>
      <c r="P36" s="31"/>
      <c r="U36" s="30"/>
      <c r="V36" s="30"/>
      <c r="W36" s="30"/>
      <c r="Y36" s="33"/>
      <c r="Z36" s="33"/>
    </row>
    <row r="37" spans="1:39" ht="48" x14ac:dyDescent="0.3">
      <c r="A37" s="9" t="s">
        <v>33</v>
      </c>
      <c r="B37" s="11">
        <v>2011</v>
      </c>
      <c r="C37" s="17">
        <f t="shared" si="1"/>
        <v>5</v>
      </c>
      <c r="D37" s="17" t="str">
        <f t="shared" si="0"/>
        <v>Yes</v>
      </c>
      <c r="E37" s="31" t="s">
        <v>84</v>
      </c>
      <c r="F37" s="30" t="s">
        <v>296</v>
      </c>
      <c r="G37" s="30">
        <v>1</v>
      </c>
      <c r="H37" s="30" t="s">
        <v>163</v>
      </c>
      <c r="I37" s="30">
        <v>1</v>
      </c>
      <c r="J37" s="30" t="s">
        <v>75</v>
      </c>
      <c r="K37" s="30">
        <v>1</v>
      </c>
      <c r="L37" s="30" t="s">
        <v>64</v>
      </c>
      <c r="M37" s="57">
        <v>1</v>
      </c>
      <c r="N37" s="30" t="s">
        <v>438</v>
      </c>
      <c r="O37" s="30">
        <v>1</v>
      </c>
      <c r="P37" s="31"/>
      <c r="U37" s="30"/>
      <c r="V37" s="30"/>
      <c r="W37" s="30"/>
      <c r="Y37" s="30"/>
      <c r="Z37" s="30"/>
    </row>
    <row r="38" spans="1:39" ht="60" x14ac:dyDescent="0.3">
      <c r="A38" s="9" t="s">
        <v>376</v>
      </c>
      <c r="B38" s="11">
        <v>2015</v>
      </c>
      <c r="C38" s="17">
        <f t="shared" si="1"/>
        <v>5</v>
      </c>
      <c r="D38" s="17" t="str">
        <f t="shared" si="0"/>
        <v>Yes</v>
      </c>
      <c r="E38" s="31" t="s">
        <v>389</v>
      </c>
      <c r="F38" s="30" t="s">
        <v>406</v>
      </c>
      <c r="G38" s="30">
        <v>1</v>
      </c>
      <c r="H38" s="30" t="s">
        <v>473</v>
      </c>
      <c r="I38" s="30">
        <v>1</v>
      </c>
      <c r="J38" s="30" t="s">
        <v>420</v>
      </c>
      <c r="K38" s="30">
        <v>1</v>
      </c>
      <c r="L38" s="30" t="s">
        <v>65</v>
      </c>
      <c r="M38" s="57">
        <v>1</v>
      </c>
      <c r="N38" s="30" t="s">
        <v>416</v>
      </c>
      <c r="O38" s="30">
        <v>1</v>
      </c>
      <c r="P38" s="31"/>
    </row>
    <row r="39" spans="1:39" ht="36" x14ac:dyDescent="0.3">
      <c r="A39" s="9" t="s">
        <v>34</v>
      </c>
      <c r="B39" s="11">
        <v>2018</v>
      </c>
      <c r="C39" s="17">
        <f t="shared" si="1"/>
        <v>5</v>
      </c>
      <c r="D39" s="17" t="str">
        <f t="shared" si="0"/>
        <v>Yes</v>
      </c>
      <c r="E39" s="31" t="s">
        <v>87</v>
      </c>
      <c r="F39" s="30" t="s">
        <v>406</v>
      </c>
      <c r="G39" s="30">
        <v>1</v>
      </c>
      <c r="H39" s="30" t="s">
        <v>113</v>
      </c>
      <c r="I39" s="30">
        <v>1</v>
      </c>
      <c r="J39" s="30" t="s">
        <v>118</v>
      </c>
      <c r="K39" s="30">
        <v>1</v>
      </c>
      <c r="L39" s="30" t="s">
        <v>64</v>
      </c>
      <c r="M39" s="57">
        <v>1</v>
      </c>
      <c r="N39" s="30" t="s">
        <v>489</v>
      </c>
      <c r="O39" s="30">
        <v>1</v>
      </c>
      <c r="P39" s="31"/>
      <c r="U39" s="30"/>
      <c r="V39" s="30"/>
      <c r="W39" s="30"/>
      <c r="Y39" s="33"/>
      <c r="Z39" s="33"/>
    </row>
    <row r="40" spans="1:39" ht="24" x14ac:dyDescent="0.3">
      <c r="A40" s="9" t="s">
        <v>35</v>
      </c>
      <c r="B40" s="11">
        <v>2012</v>
      </c>
      <c r="C40" s="17">
        <f t="shared" si="1"/>
        <v>4</v>
      </c>
      <c r="D40" s="17" t="str">
        <f t="shared" si="0"/>
        <v>Yes</v>
      </c>
      <c r="E40" s="31" t="s">
        <v>436</v>
      </c>
      <c r="F40" s="30" t="s">
        <v>358</v>
      </c>
      <c r="G40" s="30">
        <v>0</v>
      </c>
      <c r="H40" s="30" t="s">
        <v>166</v>
      </c>
      <c r="I40" s="30">
        <v>1</v>
      </c>
      <c r="J40" s="30" t="s">
        <v>470</v>
      </c>
      <c r="K40" s="30">
        <v>1</v>
      </c>
      <c r="L40" s="30" t="s">
        <v>64</v>
      </c>
      <c r="M40" s="57">
        <v>1</v>
      </c>
      <c r="N40" s="30" t="s">
        <v>273</v>
      </c>
      <c r="O40" s="30">
        <v>1</v>
      </c>
      <c r="P40" s="31"/>
      <c r="U40" s="30"/>
      <c r="V40" s="30"/>
      <c r="W40" s="30"/>
      <c r="Y40" s="30"/>
      <c r="Z40" s="30"/>
    </row>
    <row r="41" spans="1:39" ht="24" x14ac:dyDescent="0.3">
      <c r="A41" s="9" t="s">
        <v>36</v>
      </c>
      <c r="B41" s="11">
        <v>2016</v>
      </c>
      <c r="C41" s="17">
        <f t="shared" si="1"/>
        <v>5</v>
      </c>
      <c r="D41" s="17" t="str">
        <f t="shared" si="0"/>
        <v>Yes</v>
      </c>
      <c r="E41" s="31" t="s">
        <v>436</v>
      </c>
      <c r="F41" s="30" t="s">
        <v>407</v>
      </c>
      <c r="G41" s="30">
        <v>1</v>
      </c>
      <c r="H41" s="30" t="s">
        <v>166</v>
      </c>
      <c r="I41" s="30">
        <v>1</v>
      </c>
      <c r="J41" s="30" t="s">
        <v>471</v>
      </c>
      <c r="K41" s="30">
        <v>1</v>
      </c>
      <c r="L41" s="30" t="s">
        <v>66</v>
      </c>
      <c r="M41" s="57">
        <v>1</v>
      </c>
      <c r="N41" s="30" t="s">
        <v>289</v>
      </c>
      <c r="O41" s="30">
        <v>1</v>
      </c>
      <c r="P41" s="31"/>
      <c r="U41" s="30"/>
      <c r="V41" s="30"/>
      <c r="W41" s="7"/>
      <c r="Y41" s="30"/>
      <c r="Z41" s="30"/>
    </row>
    <row r="42" spans="1:39" ht="36" x14ac:dyDescent="0.3">
      <c r="A42" s="9" t="s">
        <v>37</v>
      </c>
      <c r="B42" s="11">
        <v>2015</v>
      </c>
      <c r="C42" s="17">
        <f t="shared" si="1"/>
        <v>4</v>
      </c>
      <c r="D42" s="17" t="str">
        <f t="shared" si="0"/>
        <v>Yes</v>
      </c>
      <c r="E42" s="31" t="s">
        <v>436</v>
      </c>
      <c r="F42" s="30" t="s">
        <v>358</v>
      </c>
      <c r="G42" s="30">
        <v>0</v>
      </c>
      <c r="H42" s="30" t="s">
        <v>167</v>
      </c>
      <c r="I42" s="30">
        <v>1</v>
      </c>
      <c r="J42" s="30" t="s">
        <v>203</v>
      </c>
      <c r="K42" s="30">
        <v>1</v>
      </c>
      <c r="L42" s="30" t="s">
        <v>66</v>
      </c>
      <c r="M42" s="57">
        <v>1</v>
      </c>
      <c r="N42" s="30" t="s">
        <v>489</v>
      </c>
      <c r="O42" s="30">
        <v>1</v>
      </c>
      <c r="P42" s="31"/>
      <c r="U42" s="30"/>
      <c r="V42" s="30"/>
      <c r="W42" s="30"/>
      <c r="Y42" s="30"/>
      <c r="Z42" s="30"/>
    </row>
    <row r="43" spans="1:39" ht="60" x14ac:dyDescent="0.3">
      <c r="A43" s="9" t="s">
        <v>154</v>
      </c>
      <c r="B43" s="11">
        <v>2016</v>
      </c>
      <c r="C43" s="17">
        <f t="shared" si="1"/>
        <v>5</v>
      </c>
      <c r="D43" s="17" t="str">
        <f t="shared" si="0"/>
        <v>Yes</v>
      </c>
      <c r="E43" s="31" t="s">
        <v>437</v>
      </c>
      <c r="F43" s="30" t="s">
        <v>408</v>
      </c>
      <c r="G43" s="30">
        <v>1</v>
      </c>
      <c r="H43" s="30" t="s">
        <v>163</v>
      </c>
      <c r="I43" s="30">
        <v>1</v>
      </c>
      <c r="J43" s="30" t="s">
        <v>206</v>
      </c>
      <c r="K43" s="30">
        <v>1</v>
      </c>
      <c r="L43" s="30" t="s">
        <v>64</v>
      </c>
      <c r="M43" s="57">
        <v>1</v>
      </c>
      <c r="N43" s="30" t="s">
        <v>439</v>
      </c>
      <c r="O43" s="30">
        <v>1</v>
      </c>
      <c r="P43" s="31"/>
      <c r="Q43" s="57"/>
      <c r="T43" s="30"/>
      <c r="U43" s="30"/>
      <c r="V43" s="30"/>
      <c r="W43" s="30"/>
      <c r="Y43" s="30"/>
      <c r="Z43" s="30"/>
      <c r="AD43" s="41"/>
    </row>
    <row r="44" spans="1:39" ht="24.6" thickBot="1" x14ac:dyDescent="0.35">
      <c r="A44" s="54" t="s">
        <v>161</v>
      </c>
      <c r="B44" s="55">
        <v>2010</v>
      </c>
      <c r="C44" s="56">
        <f t="shared" si="1"/>
        <v>5</v>
      </c>
      <c r="D44" s="56" t="str">
        <f t="shared" si="0"/>
        <v>Yes</v>
      </c>
      <c r="E44" s="35" t="s">
        <v>96</v>
      </c>
      <c r="F44" s="20" t="s">
        <v>406</v>
      </c>
      <c r="G44" s="20">
        <v>1</v>
      </c>
      <c r="H44" s="20" t="s">
        <v>168</v>
      </c>
      <c r="I44" s="20">
        <v>1</v>
      </c>
      <c r="J44" s="20" t="s">
        <v>204</v>
      </c>
      <c r="K44" s="20">
        <v>1</v>
      </c>
      <c r="L44" s="30" t="s">
        <v>66</v>
      </c>
      <c r="M44" s="65">
        <v>1</v>
      </c>
      <c r="N44" s="20" t="s">
        <v>273</v>
      </c>
      <c r="O44" s="20">
        <v>1</v>
      </c>
      <c r="P44" s="35"/>
      <c r="Q44" s="29"/>
      <c r="R44" s="20"/>
      <c r="S44" s="35"/>
      <c r="U44" s="30"/>
      <c r="V44" s="30"/>
      <c r="W44" s="30"/>
      <c r="Y44" s="30"/>
      <c r="Z44" s="30"/>
    </row>
    <row r="45" spans="1:39" s="25" customFormat="1" x14ac:dyDescent="0.3">
      <c r="A45" s="67"/>
      <c r="B45" s="68"/>
      <c r="C45" s="69"/>
      <c r="D45" s="69"/>
      <c r="E45" s="36"/>
      <c r="F45" s="33"/>
      <c r="G45" s="33">
        <f>SUM(G3:G44)</f>
        <v>32</v>
      </c>
      <c r="H45" s="33"/>
      <c r="I45" s="33">
        <f>SUM(I3:I44)</f>
        <v>42</v>
      </c>
      <c r="J45" s="33"/>
      <c r="K45" s="33">
        <f>SUM(K3:K44)</f>
        <v>42</v>
      </c>
      <c r="L45" s="33"/>
      <c r="M45" s="33">
        <f>SUM(M3:M44)</f>
        <v>42</v>
      </c>
      <c r="N45" s="33"/>
      <c r="O45" s="33">
        <f>SUM(O3:O44)</f>
        <v>41</v>
      </c>
      <c r="P45" s="33"/>
      <c r="Q45" s="32"/>
      <c r="R45" s="33"/>
      <c r="S45" s="36"/>
    </row>
    <row r="46" spans="1:39" ht="15" thickBot="1" x14ac:dyDescent="0.35"/>
    <row r="47" spans="1:39" ht="15" thickBot="1" x14ac:dyDescent="0.35">
      <c r="A47" s="22" t="s">
        <v>264</v>
      </c>
      <c r="B47" s="23"/>
      <c r="C47" s="24">
        <f>COUNTIF(D3:D44,"Yes")</f>
        <v>42</v>
      </c>
      <c r="D47" s="23"/>
      <c r="F47" s="26" t="s">
        <v>111</v>
      </c>
      <c r="H47" s="26" t="s">
        <v>111</v>
      </c>
      <c r="J47" s="26" t="s">
        <v>111</v>
      </c>
      <c r="L47" s="26" t="s">
        <v>111</v>
      </c>
      <c r="N47" s="40" t="s">
        <v>111</v>
      </c>
    </row>
    <row r="48" spans="1:39" x14ac:dyDescent="0.3">
      <c r="P48" s="25"/>
    </row>
    <row r="49" spans="1:19" s="32" customFormat="1" x14ac:dyDescent="0.3">
      <c r="A49" s="22">
        <v>4</v>
      </c>
      <c r="B49" s="23"/>
      <c r="C49" s="23">
        <f>COUNTIF($C$3:$C$35,A49)</f>
        <v>8</v>
      </c>
      <c r="D49" s="23"/>
      <c r="E49" s="52"/>
      <c r="F49" s="25" t="s">
        <v>296</v>
      </c>
      <c r="G49" s="25">
        <f>COUNTIF(F$3:F$44, "*Social learning*")-G50</f>
        <v>14</v>
      </c>
      <c r="H49" s="25" t="s">
        <v>112</v>
      </c>
      <c r="I49" s="25">
        <f>COUNTIF(H$3:H$44, "*Pre*")</f>
        <v>22</v>
      </c>
      <c r="J49" s="25" t="s">
        <v>116</v>
      </c>
      <c r="K49" s="25">
        <f>COUNTIF(J$3:J$44, "*Questionnaire*")</f>
        <v>25</v>
      </c>
      <c r="L49" s="25" t="s">
        <v>65</v>
      </c>
      <c r="M49" s="25">
        <f>COUNTIF(L$3:L$44, L49)</f>
        <v>5</v>
      </c>
      <c r="N49" s="58" t="s">
        <v>273</v>
      </c>
      <c r="O49" s="59">
        <f>COUNTIF(N$3:N$44, "*Increased system*")</f>
        <v>34</v>
      </c>
      <c r="P49" s="25"/>
      <c r="R49" s="33"/>
      <c r="S49" s="36"/>
    </row>
    <row r="50" spans="1:19" s="32" customFormat="1" x14ac:dyDescent="0.3">
      <c r="A50" s="22">
        <v>5</v>
      </c>
      <c r="B50" s="23"/>
      <c r="C50" s="23">
        <f>COUNTIF($C$3:$C$35,A50)</f>
        <v>25</v>
      </c>
      <c r="D50" s="23"/>
      <c r="E50" s="52"/>
      <c r="F50" s="25" t="s">
        <v>426</v>
      </c>
      <c r="G50" s="25">
        <f>COUNTIF(F$3:F$44, "*Links to social learning*")</f>
        <v>2</v>
      </c>
      <c r="H50" s="25" t="s">
        <v>113</v>
      </c>
      <c r="I50" s="25">
        <f>COUNTIF(H$3:H$44, "*During*")</f>
        <v>30</v>
      </c>
      <c r="J50" s="25" t="s">
        <v>118</v>
      </c>
      <c r="K50" s="25">
        <f>COUNTIF(J$3:J$44, "*Observation*")</f>
        <v>24</v>
      </c>
      <c r="L50" s="25" t="s">
        <v>64</v>
      </c>
      <c r="M50" s="25">
        <f>COUNTIF(L$3:L$44, L50)</f>
        <v>21</v>
      </c>
      <c r="N50" s="58" t="s">
        <v>160</v>
      </c>
      <c r="O50" s="59">
        <f>COUNTIF(N$3:N$44, "*awareness*")</f>
        <v>14</v>
      </c>
      <c r="P50" s="25"/>
      <c r="R50" s="33"/>
      <c r="S50" s="36"/>
    </row>
    <row r="51" spans="1:19" s="32" customFormat="1" x14ac:dyDescent="0.3">
      <c r="A51" s="22">
        <v>6</v>
      </c>
      <c r="B51" s="23"/>
      <c r="C51" s="23">
        <f>COUNTIF($C$3:$C$35,A51)</f>
        <v>0</v>
      </c>
      <c r="D51" s="23"/>
      <c r="E51" s="52"/>
      <c r="F51" s="25" t="s">
        <v>392</v>
      </c>
      <c r="G51" s="25">
        <f>COUNTIF(F$3:F$44, "*experiential learning*")-G52</f>
        <v>5</v>
      </c>
      <c r="H51" s="25" t="s">
        <v>47</v>
      </c>
      <c r="I51" s="25">
        <f>COUNTIF(H$3:H$44, "*Post*")-I38</f>
        <v>36</v>
      </c>
      <c r="J51" s="25" t="s">
        <v>120</v>
      </c>
      <c r="K51" s="25">
        <f>COUNTIF(J$3:J$44, "*Debrief*")</f>
        <v>18</v>
      </c>
      <c r="L51" s="25" t="s">
        <v>121</v>
      </c>
      <c r="M51" s="25">
        <f>COUNTIF(L$3:L$44, L51)</f>
        <v>16</v>
      </c>
      <c r="N51" s="58" t="s">
        <v>425</v>
      </c>
      <c r="O51" s="59">
        <f>COUNTIF(N$3:N$44, "*understanding other*")</f>
        <v>12</v>
      </c>
      <c r="P51" s="25"/>
      <c r="R51" s="33"/>
      <c r="S51" s="36"/>
    </row>
    <row r="52" spans="1:19" s="32" customFormat="1" x14ac:dyDescent="0.3">
      <c r="A52" s="22"/>
      <c r="B52" s="23"/>
      <c r="C52" s="23"/>
      <c r="D52" s="23"/>
      <c r="E52" s="52"/>
      <c r="F52" s="25" t="s">
        <v>406</v>
      </c>
      <c r="G52" s="25">
        <f>COUNTIF(F$3:F$44, "*Links to experiential learning*")</f>
        <v>3</v>
      </c>
      <c r="H52" s="25" t="s">
        <v>114</v>
      </c>
      <c r="I52" s="25">
        <f>COUNTIF(H$3:H$44, "*Post-post*")</f>
        <v>10</v>
      </c>
      <c r="J52" s="25" t="s">
        <v>117</v>
      </c>
      <c r="K52" s="25">
        <f>COUNTIF(J$3:J$44, "*Interview*")</f>
        <v>14</v>
      </c>
      <c r="L52" s="25"/>
      <c r="M52" s="25">
        <f>SUM(M49:M51)</f>
        <v>42</v>
      </c>
      <c r="N52" s="58" t="s">
        <v>449</v>
      </c>
      <c r="O52" s="59">
        <f>COUNTIF(N$3:N$44, "*building relationships*")</f>
        <v>8</v>
      </c>
      <c r="P52" s="25"/>
      <c r="R52" s="33"/>
      <c r="S52" s="36"/>
    </row>
    <row r="53" spans="1:19" s="32" customFormat="1" x14ac:dyDescent="0.3">
      <c r="A53" s="22" t="s">
        <v>265</v>
      </c>
      <c r="B53" s="23"/>
      <c r="C53" s="23">
        <f>SUM(C49:C52)</f>
        <v>33</v>
      </c>
      <c r="D53" s="23"/>
      <c r="E53" s="52"/>
      <c r="F53" s="25" t="s">
        <v>401</v>
      </c>
      <c r="G53" s="25">
        <f>COUNTIF(F$3:F$44, "*oriented learning*")</f>
        <v>2</v>
      </c>
      <c r="H53" s="25" t="s">
        <v>115</v>
      </c>
      <c r="I53" s="25">
        <f>COUNTIF(H$3:H$44, "*Control Group*")</f>
        <v>0</v>
      </c>
      <c r="J53" s="25" t="s">
        <v>119</v>
      </c>
      <c r="K53" s="25">
        <f>COUNTIF(J$3:J$44, "*Data logging*")</f>
        <v>8</v>
      </c>
      <c r="L53" s="25"/>
      <c r="M53" s="25"/>
      <c r="N53" s="58" t="s">
        <v>282</v>
      </c>
      <c r="O53" s="59">
        <f>COUNTIF(N$3:N$44, "*establish experiential*")</f>
        <v>1</v>
      </c>
      <c r="P53" s="25"/>
      <c r="R53" s="33"/>
      <c r="S53" s="36"/>
    </row>
    <row r="54" spans="1:19" s="25" customFormat="1" x14ac:dyDescent="0.3">
      <c r="A54" s="22"/>
      <c r="B54" s="23"/>
      <c r="C54" s="23"/>
      <c r="D54" s="23"/>
      <c r="E54" s="52"/>
      <c r="F54" s="25" t="s">
        <v>427</v>
      </c>
      <c r="G54" s="25">
        <f>COUNTIF(F$3:F$44, "*knowledge co*")</f>
        <v>2</v>
      </c>
      <c r="J54" s="25" t="s">
        <v>115</v>
      </c>
      <c r="K54" s="25">
        <f>COUNTIF(J$3:J$44, "*control group*")</f>
        <v>3</v>
      </c>
      <c r="N54" s="58" t="s">
        <v>289</v>
      </c>
      <c r="O54" s="59">
        <f>COUNTIF(N$3:N$44, "*change in views*")</f>
        <v>5</v>
      </c>
      <c r="Q54" s="32"/>
      <c r="R54" s="33"/>
      <c r="S54" s="36"/>
    </row>
    <row r="55" spans="1:19" s="25" customFormat="1" x14ac:dyDescent="0.3">
      <c r="A55" s="22"/>
      <c r="B55" s="23"/>
      <c r="C55" s="23"/>
      <c r="D55" s="23"/>
      <c r="E55" s="52"/>
      <c r="F55" s="25" t="s">
        <v>428</v>
      </c>
      <c r="G55" s="25">
        <f>COUNTIF(F$3:F$44, "*constructiv*")</f>
        <v>1</v>
      </c>
      <c r="H55" s="25" t="s">
        <v>245</v>
      </c>
      <c r="J55" s="25" t="s">
        <v>472</v>
      </c>
      <c r="K55" s="25">
        <f>COUNTIF(J$3:J$44, "*perspective map*")</f>
        <v>2</v>
      </c>
      <c r="N55" s="25" t="s">
        <v>278</v>
      </c>
      <c r="O55" s="59">
        <f>COUNTIF(N$3:N$44, "*verification of*")</f>
        <v>0</v>
      </c>
      <c r="Q55" s="32"/>
      <c r="R55" s="33"/>
      <c r="S55" s="36"/>
    </row>
    <row r="56" spans="1:19" s="25" customFormat="1" x14ac:dyDescent="0.3">
      <c r="A56" s="22"/>
      <c r="B56" s="23"/>
      <c r="C56" s="23"/>
      <c r="D56" s="23"/>
      <c r="E56" s="52"/>
      <c r="F56" s="25" t="s">
        <v>393</v>
      </c>
      <c r="G56" s="25">
        <f>COUNTIF(F$3:F$44, "*collective learning*")</f>
        <v>2</v>
      </c>
      <c r="H56" s="37"/>
      <c r="J56" s="37" t="s">
        <v>241</v>
      </c>
      <c r="K56" s="25">
        <f>COUNTIF(J$3:J$44, "*Concept map*")</f>
        <v>1</v>
      </c>
      <c r="N56" s="58" t="s">
        <v>292</v>
      </c>
      <c r="O56" s="59">
        <f>COUNTIF(N$3:N$44, "*real world*")</f>
        <v>1</v>
      </c>
      <c r="Q56" s="32"/>
      <c r="R56" s="33"/>
      <c r="S56" s="36"/>
    </row>
    <row r="57" spans="1:19" s="25" customFormat="1" x14ac:dyDescent="0.3">
      <c r="A57" s="22"/>
      <c r="B57" s="23"/>
      <c r="C57" s="23"/>
      <c r="D57" s="23"/>
      <c r="E57" s="52"/>
      <c r="F57" s="25" t="s">
        <v>429</v>
      </c>
      <c r="G57" s="25">
        <f>COUNTIF(F$3:F$44, "*effective learning*")</f>
        <v>1</v>
      </c>
      <c r="H57" s="25" t="s">
        <v>164</v>
      </c>
      <c r="I57" s="25">
        <f>COUNTIFS(H$3:H$44, "*Pre*", H$3:H$44, "*Post*")-I62-I64-I67</f>
        <v>3</v>
      </c>
      <c r="J57" s="25" t="s">
        <v>211</v>
      </c>
      <c r="K57" s="25">
        <f>COUNTIF(J$3:J$44, "*SWOT*")</f>
        <v>0</v>
      </c>
      <c r="N57" s="58"/>
      <c r="Q57" s="32"/>
      <c r="R57" s="33"/>
      <c r="S57" s="36"/>
    </row>
    <row r="58" spans="1:19" s="25" customFormat="1" x14ac:dyDescent="0.3">
      <c r="A58" s="22"/>
      <c r="B58" s="23"/>
      <c r="C58" s="23"/>
      <c r="D58" s="23"/>
      <c r="E58" s="52"/>
      <c r="F58" s="25" t="s">
        <v>430</v>
      </c>
      <c r="G58" s="25">
        <f>COUNTIF(F$3:F$44, "*meaning*")</f>
        <v>1</v>
      </c>
      <c r="H58" s="25" t="s">
        <v>242</v>
      </c>
      <c r="I58" s="25">
        <f>COUNTIFS(H$3:H$44, "*Pre*", H$3:H$44, "*During*")-I62-I63-I67</f>
        <v>1</v>
      </c>
      <c r="J58" s="25" t="s">
        <v>209</v>
      </c>
      <c r="K58" s="25">
        <f>COUNTIF(J$3:J$44, "*interaction*")</f>
        <v>1</v>
      </c>
      <c r="N58" s="25" t="s">
        <v>53</v>
      </c>
      <c r="O58" s="59">
        <f>COUNTIF(N$3:N$44, "*unspecified*")</f>
        <v>0</v>
      </c>
      <c r="Q58" s="32"/>
      <c r="R58" s="33"/>
      <c r="S58" s="36"/>
    </row>
    <row r="59" spans="1:19" x14ac:dyDescent="0.3">
      <c r="F59" s="25" t="s">
        <v>410</v>
      </c>
      <c r="G59" s="25">
        <f>COUNTIF(F$3:F$44, "*situational*")</f>
        <v>1</v>
      </c>
      <c r="H59" s="25" t="s">
        <v>163</v>
      </c>
      <c r="I59" s="25">
        <f>COUNTIFS(H$3:H$44, "*During*", H$3:H$44, "*Post*")-I62-I65-I67</f>
        <v>8</v>
      </c>
      <c r="J59" s="25" t="s">
        <v>210</v>
      </c>
      <c r="K59" s="25">
        <f>COUNTIF(J$3:J$44, "*social network*")</f>
        <v>1</v>
      </c>
    </row>
    <row r="60" spans="1:19" x14ac:dyDescent="0.3">
      <c r="F60" s="25" t="s">
        <v>431</v>
      </c>
      <c r="G60" s="25">
        <f>COUNTIF(F$3:F$44, "*anticipatory learning*")</f>
        <v>1</v>
      </c>
      <c r="H60" s="25" t="s">
        <v>169</v>
      </c>
      <c r="I60" s="25">
        <f>COUNTIFS(H$3:H$44, "*Post*", H$3:H$44, "*Post-post*")-I64-I65-I67</f>
        <v>1</v>
      </c>
      <c r="J60" s="25" t="s">
        <v>254</v>
      </c>
      <c r="K60" s="25">
        <f>COUNTIF(J$3:J$44, "*world*")</f>
        <v>1</v>
      </c>
      <c r="N60" s="58" t="s">
        <v>274</v>
      </c>
      <c r="O60" s="59">
        <f>COUNTIF(N$3:N$44, "*enjoyable*")</f>
        <v>1</v>
      </c>
    </row>
    <row r="61" spans="1:19" x14ac:dyDescent="0.3">
      <c r="F61" s="25"/>
      <c r="G61" s="25"/>
      <c r="I61" s="25"/>
      <c r="N61" s="58"/>
      <c r="O61" s="25"/>
    </row>
    <row r="62" spans="1:19" x14ac:dyDescent="0.3">
      <c r="H62" s="25" t="s">
        <v>166</v>
      </c>
      <c r="I62" s="25">
        <f>COUNTIFS(H$3:H$44, "*Pre*", H$3:H$44, "*During*", H$3:H$44, "*Post*")-I67</f>
        <v>11</v>
      </c>
      <c r="J62" s="25" t="s">
        <v>245</v>
      </c>
      <c r="N62" s="58" t="s">
        <v>245</v>
      </c>
    </row>
    <row r="63" spans="1:19" x14ac:dyDescent="0.3">
      <c r="F63" s="25" t="s">
        <v>296</v>
      </c>
      <c r="G63" s="25">
        <f>G49+G50</f>
        <v>16</v>
      </c>
      <c r="H63" s="25" t="s">
        <v>244</v>
      </c>
      <c r="I63" s="25">
        <f>COUNTIFS(H$3:H$44, "*Pre*", H$3:H$44, "*During*", H$3:H$44, "*Post-post*")-I67</f>
        <v>0</v>
      </c>
      <c r="R63" s="7"/>
    </row>
    <row r="64" spans="1:19" x14ac:dyDescent="0.3">
      <c r="F64" s="25" t="s">
        <v>392</v>
      </c>
      <c r="G64" s="25">
        <f>G51+G52</f>
        <v>8</v>
      </c>
      <c r="H64" s="25" t="s">
        <v>165</v>
      </c>
      <c r="I64" s="25">
        <f>COUNTIFS(H$3:H$44, "*Pre*", H$3:H$44, "*Post-post*", H$3:H$44, "*Post*")-I67</f>
        <v>3</v>
      </c>
      <c r="J64" s="25" t="s">
        <v>215</v>
      </c>
      <c r="K64" s="25">
        <f>COUNTIFS(J$3:J$44, "*Questionnaire*", J$3:J$44, "*Observations*")-K75-K76-K78-K86-K87-K88-K92</f>
        <v>5</v>
      </c>
      <c r="N64" s="58" t="s">
        <v>459</v>
      </c>
      <c r="O64" s="59">
        <f>COUNTIFS(N$3:N$44, "*increased system*", N$3:N$44, "*understanding other*")-O78-O79-O80-O84</f>
        <v>6</v>
      </c>
    </row>
    <row r="65" spans="6:18" x14ac:dyDescent="0.3">
      <c r="F65" s="25" t="s">
        <v>401</v>
      </c>
      <c r="G65" s="25">
        <f>G53</f>
        <v>2</v>
      </c>
      <c r="H65" s="25" t="s">
        <v>243</v>
      </c>
      <c r="I65" s="25">
        <f>COUNTIFS(H$3:H$44, "*Post-post*", H$3:H$44, "*During*", H$3:H$44, "*Post*")-I67</f>
        <v>2</v>
      </c>
      <c r="J65" s="25" t="s">
        <v>216</v>
      </c>
      <c r="K65" s="25">
        <f>COUNTIFS(J$3:J$44, "*Questionnaire*", J$3:J$44, "*Data logging*")-K75-K77-K79-K86-K87-K89-K92</f>
        <v>2</v>
      </c>
      <c r="N65" s="58" t="s">
        <v>450</v>
      </c>
      <c r="O65" s="59">
        <f>COUNTIFS(N$3:N$44, "*increased system*", N$3:N$44, "*foster collaboration*")-O78-O81</f>
        <v>0</v>
      </c>
      <c r="R65" s="7"/>
    </row>
    <row r="66" spans="6:18" x14ac:dyDescent="0.3">
      <c r="F66" s="25" t="s">
        <v>432</v>
      </c>
      <c r="G66" s="25">
        <f>SUM(G54:G61)</f>
        <v>9</v>
      </c>
      <c r="I66" s="25"/>
      <c r="J66" s="25" t="s">
        <v>217</v>
      </c>
      <c r="K66" s="25">
        <f>COUNTIFS(J$3:J$44, "*Questionnaire*", J$3:J$44, "*Debrief*")-K76-K77-K80-K86-K88-K89-K92</f>
        <v>2</v>
      </c>
      <c r="N66" s="58" t="s">
        <v>453</v>
      </c>
      <c r="O66" s="59">
        <f>COUNTIFS(N$3:N$44, "*increased system*", N$3:N$44, "*awareness*")-O79-O81-O82</f>
        <v>7</v>
      </c>
      <c r="R66" s="7"/>
    </row>
    <row r="67" spans="6:18" x14ac:dyDescent="0.3">
      <c r="F67" s="25" t="s">
        <v>358</v>
      </c>
      <c r="G67" s="25">
        <f>COUNTIF(F$3:F$44, "*Not concept*")</f>
        <v>10</v>
      </c>
      <c r="H67" s="25" t="s">
        <v>167</v>
      </c>
      <c r="I67" s="25">
        <f>COUNTIFS(H$3:H$44, "*Pre*", H$3:H$44, "*During*", H$3:H$44, "*Post*", H$3:H$44, "*Post-post*")</f>
        <v>4</v>
      </c>
      <c r="J67" s="25" t="s">
        <v>218</v>
      </c>
      <c r="K67" s="25">
        <f>COUNTIFS(J$3:J$44, "*Questionnaire*", J$3:J$44, "*Interview*")-K78-K79-K80-K87-K88-K89-K92</f>
        <v>1</v>
      </c>
      <c r="N67" s="58" t="s">
        <v>293</v>
      </c>
      <c r="O67" s="59">
        <f>COUNTIFS(N$3:N$44, "*increased system*", N$3:N$44, "*establish experiential*")-O80-O82-O84</f>
        <v>1</v>
      </c>
      <c r="R67" s="7"/>
    </row>
    <row r="68" spans="6:18" x14ac:dyDescent="0.3">
      <c r="J68" s="25" t="s">
        <v>219</v>
      </c>
      <c r="K68" s="25">
        <f>COUNTIFS(J$3:J$44, "*Debrief*", J$3:J$44, "*Observations*")-K76-K81-K83-K86-K88-K90-K92</f>
        <v>4</v>
      </c>
      <c r="N68" s="58" t="s">
        <v>295</v>
      </c>
      <c r="O68" s="59">
        <f>COUNTIFS(N$3:N$44, "*increased system*", N$3:N$44, "*change in views*")-O84</f>
        <v>4</v>
      </c>
    </row>
    <row r="69" spans="6:18" x14ac:dyDescent="0.3">
      <c r="F69" s="25" t="s">
        <v>433</v>
      </c>
      <c r="G69" s="25">
        <f>SUM(G63:G67)</f>
        <v>45</v>
      </c>
      <c r="J69" s="25" t="s">
        <v>220</v>
      </c>
      <c r="K69" s="25">
        <f>COUNTIFS(J$3:J$44, "*Interview*", J$3:J$44, "*Observations*")-K78-K82-K83-K87-K88-K90-K92</f>
        <v>1</v>
      </c>
      <c r="N69" s="58" t="s">
        <v>294</v>
      </c>
      <c r="O69" s="59">
        <f>COUNTIFS(N$3:N$44, "*increased system*", N$3:N$44, "*real world*")</f>
        <v>1</v>
      </c>
    </row>
    <row r="70" spans="6:18" x14ac:dyDescent="0.3">
      <c r="H70" s="25" t="s">
        <v>298</v>
      </c>
      <c r="I70" s="25">
        <f>I57+I62+I64+I67</f>
        <v>21</v>
      </c>
      <c r="J70" s="25" t="s">
        <v>221</v>
      </c>
      <c r="K70" s="25">
        <f>COUNTIFS(J$3:J$44, "*Data logging*", J$3:J$44, "*Observations*")-K75-K81-K82-K86-K87-K90</f>
        <v>1</v>
      </c>
      <c r="N70" s="58" t="s">
        <v>460</v>
      </c>
      <c r="O70" s="59">
        <f>COUNTIFS(N$3:N$44, "*understanding other*", N$3:N$44, "*foster collaboration*")-O78</f>
        <v>0</v>
      </c>
    </row>
    <row r="71" spans="6:18" x14ac:dyDescent="0.3">
      <c r="H71" s="25" t="s">
        <v>299</v>
      </c>
      <c r="I71" s="25">
        <f>I59+I62+I65+I67</f>
        <v>25</v>
      </c>
      <c r="J71" s="25" t="s">
        <v>222</v>
      </c>
      <c r="K71" s="25">
        <f>COUNTIFS(J$3:J$44, "*Debrief*", J$3:J$44, "*Interview*")-K80-K83-K84-K88-K89-K90-K92</f>
        <v>0</v>
      </c>
      <c r="N71" s="58" t="s">
        <v>461</v>
      </c>
      <c r="O71" s="59">
        <f>COUNTIFS(N$3:N$44, "*understanding other*", N$3:N$44, "*awareness*")-O79</f>
        <v>0</v>
      </c>
    </row>
    <row r="72" spans="6:18" x14ac:dyDescent="0.3">
      <c r="H72" s="25" t="s">
        <v>445</v>
      </c>
      <c r="I72" s="25">
        <f>I67+I65+I64+I60</f>
        <v>10</v>
      </c>
      <c r="J72" s="25" t="s">
        <v>223</v>
      </c>
      <c r="K72" s="25">
        <f>COUNTIFS(J$3:J$44, "*Debrief*", J$3:J$44, "*Data logging*")-K77-K81-K84-K86-K89-K90-K92</f>
        <v>0</v>
      </c>
      <c r="N72" s="58" t="s">
        <v>462</v>
      </c>
      <c r="O72" s="59">
        <f>COUNTIFS(N$3:N$44, "*understanding other*", N$3:N$44, "*establish experiential*")-O80</f>
        <v>0</v>
      </c>
    </row>
    <row r="73" spans="6:18" x14ac:dyDescent="0.3">
      <c r="I73" s="25">
        <f>SUM(I70:I72)-I62-I67-I67-I65-I64</f>
        <v>32</v>
      </c>
      <c r="J73" s="25" t="s">
        <v>224</v>
      </c>
      <c r="K73" s="25">
        <f>COUNTIFS(J$3:J$44, "*Interview*", J$3:J$44, "*Data logging*")-K82-K84-K87-K89-K90-K92</f>
        <v>1</v>
      </c>
      <c r="N73" s="58" t="s">
        <v>463</v>
      </c>
      <c r="O73" s="59">
        <f>COUNTIFS(N$3:N$44, "*understanding other*", N$3:N$44, "*change in view*")-O84</f>
        <v>2</v>
      </c>
    </row>
    <row r="74" spans="6:18" x14ac:dyDescent="0.3">
      <c r="K74" s="25"/>
      <c r="N74" s="58" t="s">
        <v>454</v>
      </c>
      <c r="O74" s="59">
        <f>COUNTIFS(N$3:N$44, "*awareness*", N$3:N$44, "*foster collaboration*")-O81</f>
        <v>0</v>
      </c>
    </row>
    <row r="75" spans="6:18" x14ac:dyDescent="0.3">
      <c r="J75" s="25" t="s">
        <v>225</v>
      </c>
      <c r="K75" s="25">
        <f>COUNTIFS(J$3:J$44, "*Questionnaire*", J$3:J$44, "*Observations*", J$3:J$44, "*Data logging*")-K86-K87</f>
        <v>0</v>
      </c>
      <c r="N75" s="58" t="s">
        <v>451</v>
      </c>
      <c r="O75" s="59">
        <f>COUNTIFS(N$3:N$44, "*establish experiential*", N$3:N$44, "*foster collaboration*")</f>
        <v>0</v>
      </c>
    </row>
    <row r="76" spans="6:18" x14ac:dyDescent="0.3">
      <c r="J76" s="25" t="s">
        <v>226</v>
      </c>
      <c r="K76" s="25">
        <f>COUNTIFS(J$3:J$44, "*Questionnaire*", J$3:J$44, "*Observations*", J$3:J$44, "*Debrief*")-K86-K88-K92</f>
        <v>2</v>
      </c>
      <c r="N76" s="58" t="s">
        <v>452</v>
      </c>
      <c r="O76" s="59">
        <f>COUNTIFS(N$3:N$44, "*change in views*", N$3:N$44, "*foster collaboration*")</f>
        <v>0</v>
      </c>
    </row>
    <row r="77" spans="6:18" x14ac:dyDescent="0.3">
      <c r="J77" s="25" t="s">
        <v>227</v>
      </c>
      <c r="K77" s="25">
        <f>COUNTIFS(J$3:J$44, "*Questionnaire*", J$3:J$44, "*Data logging*", J$3:J$44, "*Debrief*")-K86-K89</f>
        <v>0</v>
      </c>
      <c r="N77" s="58"/>
      <c r="O77" s="61"/>
    </row>
    <row r="78" spans="6:18" ht="28.8" x14ac:dyDescent="0.3">
      <c r="J78" s="25" t="s">
        <v>228</v>
      </c>
      <c r="K78" s="25">
        <f>COUNTIFS(J$3:J$44, "*Questionnaire*", J$3:J$44, "*Observations*", J$3:J$44, "*Interview*")-K87-K88</f>
        <v>0</v>
      </c>
      <c r="N78" s="58" t="s">
        <v>464</v>
      </c>
      <c r="O78" s="59">
        <f>COUNTIFS(N$3:N$44, "*increased system*", N$3:N$44, "*understanding other*", N$3:N$44, "*foster collaboration*")</f>
        <v>0</v>
      </c>
    </row>
    <row r="79" spans="6:18" ht="28.8" x14ac:dyDescent="0.3">
      <c r="J79" s="25" t="s">
        <v>229</v>
      </c>
      <c r="K79" s="25">
        <f>COUNTIFS(J$3:J$44, "*Questionnaire*", J$3:J$44, "*Data logging*", J$3:J$44, "*Interview*")-K87-K89</f>
        <v>1</v>
      </c>
      <c r="N79" s="58" t="s">
        <v>465</v>
      </c>
      <c r="O79" s="59">
        <f>COUNTIFS(N$3:N$44, "*increased system*", N$3:N$44, "*understanding other*", N$3:N$44, "*awareness*")</f>
        <v>4</v>
      </c>
    </row>
    <row r="80" spans="6:18" ht="28.8" x14ac:dyDescent="0.3">
      <c r="J80" s="25" t="s">
        <v>230</v>
      </c>
      <c r="K80" s="25">
        <f>COUNTIFS(J$3:J$44, "*Questionnaire*", J$3:J$44, "*Debrief*", J$3:J$44, "*Interview*")-K88-K89</f>
        <v>1</v>
      </c>
      <c r="N80" s="58" t="s">
        <v>466</v>
      </c>
      <c r="O80" s="59">
        <f>COUNTIFS(N$3:N$44, "*increased system*", N$3:N$44, "*understanding other*", N$3:N$44, "*establish experiential*")-O84</f>
        <v>0</v>
      </c>
    </row>
    <row r="81" spans="8:15" ht="28.8" x14ac:dyDescent="0.3">
      <c r="J81" s="25" t="s">
        <v>236</v>
      </c>
      <c r="K81" s="25">
        <f>COUNTIFS(J$3:J$44, "*Debrief*", J$3:J$44, "*Observations*", J$3:J$44, "*Data logging*")-K86-K90</f>
        <v>0</v>
      </c>
      <c r="N81" s="58" t="s">
        <v>455</v>
      </c>
      <c r="O81" s="59">
        <f>COUNTIFS(N$3:N$44, "*increased system*", N$3:N$44, "*awareness*", N$3:N$44, "*foster collaboration*")</f>
        <v>0</v>
      </c>
    </row>
    <row r="82" spans="8:15" ht="28.8" x14ac:dyDescent="0.3">
      <c r="J82" s="25" t="s">
        <v>237</v>
      </c>
      <c r="K82" s="25">
        <f>COUNTIFS(J$3:J$44, "*Interview*", J$3:J$44, "*Observations*", J$3:J$44, "*Data logging*")-K90-K87</f>
        <v>1</v>
      </c>
      <c r="N82" s="58" t="s">
        <v>456</v>
      </c>
      <c r="O82" s="59">
        <f>COUNTIFS(N$3:N$44, "*increased system*", N$3:N$44, "*awareness*", N$3:N$44, "*establish experiential*")</f>
        <v>0</v>
      </c>
    </row>
    <row r="83" spans="8:15" x14ac:dyDescent="0.3">
      <c r="J83" s="25" t="s">
        <v>238</v>
      </c>
      <c r="K83" s="25">
        <f>COUNTIFS(J$3:J$44, "*Interview*", J$3:J$44, "*Observations*", J$3:J$44, "*Debrief*")-K90-K88</f>
        <v>2</v>
      </c>
      <c r="N83" s="26"/>
      <c r="O83" s="61"/>
    </row>
    <row r="84" spans="8:15" ht="28.8" x14ac:dyDescent="0.3">
      <c r="H84" t="s">
        <v>263</v>
      </c>
      <c r="J84" s="25" t="s">
        <v>240</v>
      </c>
      <c r="K84" s="25">
        <f>COUNTIFS(J$3:J$44, "*Data logging*", J$3:J$44, "*Interview*", J$3:J$44, "*Debrief*")-K89-K90</f>
        <v>0</v>
      </c>
      <c r="N84" s="58" t="s">
        <v>467</v>
      </c>
      <c r="O84" s="59">
        <f>COUNTIFS(N$3:N$44, "*increased system*", N$3:N$44, "*understanding other*", N$3:N$44, "*establish experiential*", N$3:N$44, "*change in*")</f>
        <v>0</v>
      </c>
    </row>
    <row r="85" spans="8:15" x14ac:dyDescent="0.3">
      <c r="O85">
        <f>SUM(O64:O84)</f>
        <v>25</v>
      </c>
    </row>
    <row r="86" spans="8:15" x14ac:dyDescent="0.3">
      <c r="J86" s="25" t="s">
        <v>231</v>
      </c>
      <c r="K86" s="25">
        <f>COUNTIFS(J$3:J$44, "*Questionnaire*", J$3:J$44, "*Observations*", J$3:J$44, "*Data logging*", J$3:J$44, "*Debrief*")</f>
        <v>0</v>
      </c>
      <c r="N86" s="30"/>
    </row>
    <row r="87" spans="8:15" x14ac:dyDescent="0.3">
      <c r="J87" s="25" t="s">
        <v>232</v>
      </c>
      <c r="K87" s="25">
        <f>COUNTIFS(J$3:J$44, "*Questionnaire*", J$3:J$44, "*Observations*", J$3:J$44, "*Data logging*", J$3:J$44, "*Interview*")</f>
        <v>2</v>
      </c>
      <c r="N87" s="30"/>
      <c r="O87">
        <f>O49+O51+O52+O54-(O64+O65+O68+O70+O73+O76+O78+O84+O79+O80+O81)</f>
        <v>43</v>
      </c>
    </row>
    <row r="88" spans="8:15" x14ac:dyDescent="0.3">
      <c r="J88" s="25" t="s">
        <v>233</v>
      </c>
      <c r="K88" s="25">
        <f>COUNTIFS(J$3:J$44, "*Questionnaire*", J$3:J$44, "*Observations*", J$3:J$44, "*Debrief*", J$3:J$44, "*Interview*")</f>
        <v>4</v>
      </c>
    </row>
    <row r="89" spans="8:15" x14ac:dyDescent="0.3">
      <c r="J89" s="25" t="s">
        <v>239</v>
      </c>
      <c r="K89" s="25">
        <f>COUNTIFS(J$3:J$44, "*Questionnaire*", J$3:J$44, "*Data logging*", J$3:J$44, "*Debrief*", J$3:J$44, "*Interview*")</f>
        <v>0</v>
      </c>
    </row>
    <row r="90" spans="8:15" x14ac:dyDescent="0.3">
      <c r="J90" s="25" t="s">
        <v>235</v>
      </c>
      <c r="K90" s="25">
        <f>COUNTIFS(J$3:J$44, "*Interview*", J$3:J$44, "*Observations*", J$3:J$44, "*Data logging*", J$3:J$44, "*Debrief*")</f>
        <v>0</v>
      </c>
      <c r="N90" s="30"/>
    </row>
    <row r="91" spans="8:15" x14ac:dyDescent="0.3">
      <c r="N91" s="30"/>
    </row>
    <row r="92" spans="8:15" x14ac:dyDescent="0.3">
      <c r="J92" s="25" t="s">
        <v>234</v>
      </c>
      <c r="K92" s="25">
        <f>COUNTIFS(J$3:J$44, "*Questionnaire*", J$3:J$44, "*Observations*", J$3:J$44, "*Data logging*", J$3:J$44, "*Debrief*", J$3:J$44, "*Interview*")</f>
        <v>0</v>
      </c>
      <c r="N92" s="30"/>
    </row>
    <row r="93" spans="8:15" x14ac:dyDescent="0.3">
      <c r="N93" s="7"/>
    </row>
    <row r="94" spans="8:15" x14ac:dyDescent="0.3">
      <c r="J94" s="30" t="s">
        <v>45</v>
      </c>
      <c r="K94">
        <f>SUM(K64:K93)</f>
        <v>30</v>
      </c>
      <c r="N94" s="7"/>
    </row>
    <row r="95" spans="8:15" x14ac:dyDescent="0.3">
      <c r="J95" s="30"/>
      <c r="N95" s="7"/>
    </row>
    <row r="96" spans="8:15" x14ac:dyDescent="0.3">
      <c r="J96" s="30" t="s">
        <v>95</v>
      </c>
      <c r="N96" s="7"/>
    </row>
    <row r="97" spans="10:14" x14ac:dyDescent="0.3">
      <c r="J97" s="30" t="s">
        <v>419</v>
      </c>
      <c r="N97" s="30"/>
    </row>
    <row r="98" spans="10:14" x14ac:dyDescent="0.3">
      <c r="J98" s="30" t="s">
        <v>208</v>
      </c>
      <c r="N98" s="7"/>
    </row>
    <row r="99" spans="10:14" x14ac:dyDescent="0.3">
      <c r="J99" s="30" t="s">
        <v>208</v>
      </c>
      <c r="N99" s="30"/>
    </row>
    <row r="100" spans="10:14" x14ac:dyDescent="0.3">
      <c r="J100" s="30" t="s">
        <v>199</v>
      </c>
      <c r="N100" s="7"/>
    </row>
    <row r="101" spans="10:14" x14ac:dyDescent="0.3">
      <c r="J101" s="30" t="s">
        <v>414</v>
      </c>
      <c r="N101" s="30"/>
    </row>
    <row r="102" spans="10:14" x14ac:dyDescent="0.3">
      <c r="J102" s="30" t="s">
        <v>117</v>
      </c>
      <c r="N102" s="7"/>
    </row>
    <row r="103" spans="10:14" x14ac:dyDescent="0.3">
      <c r="J103" s="30" t="s">
        <v>118</v>
      </c>
      <c r="N103" s="30"/>
    </row>
    <row r="104" spans="10:14" x14ac:dyDescent="0.3">
      <c r="J104" s="30" t="s">
        <v>118</v>
      </c>
      <c r="N104" s="30"/>
    </row>
    <row r="105" spans="10:14" x14ac:dyDescent="0.3">
      <c r="J105" s="30" t="s">
        <v>418</v>
      </c>
      <c r="N105" s="30"/>
    </row>
    <row r="106" spans="10:14" x14ac:dyDescent="0.3">
      <c r="J106" s="30" t="s">
        <v>206</v>
      </c>
      <c r="N106" s="30"/>
    </row>
    <row r="107" spans="10:14" x14ac:dyDescent="0.3">
      <c r="J107" s="30" t="s">
        <v>207</v>
      </c>
      <c r="N107" s="30"/>
    </row>
    <row r="108" spans="10:14" x14ac:dyDescent="0.3">
      <c r="J108" s="30" t="s">
        <v>75</v>
      </c>
      <c r="N108" s="30"/>
    </row>
    <row r="109" spans="10:14" x14ac:dyDescent="0.3">
      <c r="J109" s="30" t="s">
        <v>302</v>
      </c>
      <c r="N109" s="30"/>
    </row>
    <row r="110" spans="10:14" x14ac:dyDescent="0.3">
      <c r="J110" s="30" t="s">
        <v>471</v>
      </c>
      <c r="N110" s="7"/>
    </row>
    <row r="111" spans="10:14" x14ac:dyDescent="0.3">
      <c r="J111" s="30" t="s">
        <v>470</v>
      </c>
      <c r="N111" s="7"/>
    </row>
    <row r="112" spans="10:14" x14ac:dyDescent="0.3">
      <c r="J112" s="30" t="s">
        <v>420</v>
      </c>
      <c r="N112" s="30"/>
    </row>
    <row r="113" spans="10:14" x14ac:dyDescent="0.3">
      <c r="J113" s="30" t="s">
        <v>417</v>
      </c>
      <c r="N113" s="7"/>
    </row>
    <row r="114" spans="10:14" x14ac:dyDescent="0.3">
      <c r="J114" s="30" t="s">
        <v>415</v>
      </c>
      <c r="N114" s="30"/>
    </row>
    <row r="115" spans="10:14" x14ac:dyDescent="0.3">
      <c r="J115" s="30" t="s">
        <v>116</v>
      </c>
      <c r="N115" s="7"/>
    </row>
    <row r="116" spans="10:14" x14ac:dyDescent="0.3">
      <c r="J116" s="30" t="s">
        <v>116</v>
      </c>
      <c r="N116" s="7"/>
    </row>
    <row r="117" spans="10:14" x14ac:dyDescent="0.3">
      <c r="J117" s="30" t="s">
        <v>200</v>
      </c>
      <c r="N117" s="7"/>
    </row>
    <row r="118" spans="10:14" x14ac:dyDescent="0.3">
      <c r="J118" s="30" t="s">
        <v>444</v>
      </c>
      <c r="N118" s="7"/>
    </row>
    <row r="119" spans="10:14" x14ac:dyDescent="0.3">
      <c r="J119" s="30" t="s">
        <v>255</v>
      </c>
      <c r="N119" s="7"/>
    </row>
    <row r="120" spans="10:14" x14ac:dyDescent="0.3">
      <c r="J120" s="30" t="s">
        <v>259</v>
      </c>
      <c r="N120" s="7"/>
    </row>
    <row r="121" spans="10:14" x14ac:dyDescent="0.3">
      <c r="J121" s="30" t="s">
        <v>259</v>
      </c>
      <c r="N121" s="7"/>
    </row>
    <row r="122" spans="10:14" x14ac:dyDescent="0.3">
      <c r="J122" s="30" t="s">
        <v>201</v>
      </c>
      <c r="N122" s="7"/>
    </row>
    <row r="123" spans="10:14" ht="15" thickBot="1" x14ac:dyDescent="0.35">
      <c r="J123" s="30" t="s">
        <v>261</v>
      </c>
      <c r="N123" s="20"/>
    </row>
    <row r="124" spans="10:14" x14ac:dyDescent="0.3">
      <c r="J124" s="30" t="s">
        <v>196</v>
      </c>
    </row>
    <row r="125" spans="10:14" x14ac:dyDescent="0.3">
      <c r="J125" s="30" t="s">
        <v>260</v>
      </c>
    </row>
    <row r="126" spans="10:14" x14ac:dyDescent="0.3">
      <c r="J126" s="30" t="s">
        <v>138</v>
      </c>
    </row>
    <row r="127" spans="10:14" x14ac:dyDescent="0.3">
      <c r="J127" s="30" t="s">
        <v>198</v>
      </c>
    </row>
    <row r="128" spans="10:14" x14ac:dyDescent="0.3">
      <c r="J128" s="30" t="s">
        <v>198</v>
      </c>
    </row>
    <row r="129" spans="10:10" x14ac:dyDescent="0.3">
      <c r="J129" s="30" t="s">
        <v>198</v>
      </c>
    </row>
    <row r="130" spans="10:10" x14ac:dyDescent="0.3">
      <c r="J130" s="30" t="s">
        <v>257</v>
      </c>
    </row>
    <row r="131" spans="10:10" x14ac:dyDescent="0.3">
      <c r="J131" s="30" t="s">
        <v>257</v>
      </c>
    </row>
    <row r="132" spans="10:10" x14ac:dyDescent="0.3">
      <c r="J132" s="30" t="s">
        <v>262</v>
      </c>
    </row>
    <row r="133" spans="10:10" x14ac:dyDescent="0.3">
      <c r="J133" s="30" t="s">
        <v>202</v>
      </c>
    </row>
    <row r="134" spans="10:10" x14ac:dyDescent="0.3">
      <c r="J134" s="30" t="s">
        <v>204</v>
      </c>
    </row>
    <row r="135" spans="10:10" x14ac:dyDescent="0.3">
      <c r="J135" s="30" t="s">
        <v>258</v>
      </c>
    </row>
    <row r="136" spans="10:10" x14ac:dyDescent="0.3">
      <c r="J136" s="30" t="s">
        <v>256</v>
      </c>
    </row>
    <row r="137" spans="10:10" x14ac:dyDescent="0.3">
      <c r="J137" s="30" t="s">
        <v>203</v>
      </c>
    </row>
    <row r="138" spans="10:10" ht="15" thickBot="1" x14ac:dyDescent="0.35">
      <c r="J138" s="20" t="s">
        <v>197</v>
      </c>
    </row>
  </sheetData>
  <sortState xmlns:xlrd2="http://schemas.microsoft.com/office/spreadsheetml/2017/richdata2" ref="J97:J139">
    <sortCondition ref="J97"/>
  </sortState>
  <conditionalFormatting sqref="D3:D45">
    <cfRule type="containsText" dxfId="61" priority="88" operator="containsText" text="Yes">
      <formula>NOT(ISERROR(SEARCH("Yes",D3)))</formula>
    </cfRule>
    <cfRule type="containsText" dxfId="60" priority="89" operator="containsText" text="No">
      <formula>NOT(ISERROR(SEARCH("No",D3)))</formula>
    </cfRule>
  </conditionalFormatting>
  <conditionalFormatting sqref="F45">
    <cfRule type="cellIs" dxfId="59" priority="79" operator="equal">
      <formula>"Computer"</formula>
    </cfRule>
    <cfRule type="cellIs" dxfId="58" priority="80" operator="equal">
      <formula>"Tabletop"</formula>
    </cfRule>
  </conditionalFormatting>
  <conditionalFormatting sqref="H47">
    <cfRule type="cellIs" dxfId="57" priority="60" operator="equal">
      <formula>"Card game"</formula>
    </cfRule>
    <cfRule type="cellIs" dxfId="56" priority="61" operator="equal">
      <formula>"Other"</formula>
    </cfRule>
    <cfRule type="cellIs" dxfId="55" priority="62" operator="equal">
      <formula>"Roleplaying game"</formula>
    </cfRule>
    <cfRule type="cellIs" dxfId="54" priority="63" operator="equal">
      <formula>"Hybrid game"</formula>
    </cfRule>
    <cfRule type="cellIs" dxfId="53" priority="64" operator="equal">
      <formula>"Board game"</formula>
    </cfRule>
    <cfRule type="cellIs" dxfId="52" priority="65" operator="equal">
      <formula>"Computer"</formula>
    </cfRule>
    <cfRule type="cellIs" dxfId="51" priority="66" operator="equal">
      <formula>"Tabletop"</formula>
    </cfRule>
  </conditionalFormatting>
  <conditionalFormatting sqref="J47">
    <cfRule type="cellIs" dxfId="50" priority="39" operator="equal">
      <formula>"Card game"</formula>
    </cfRule>
    <cfRule type="cellIs" dxfId="49" priority="40" operator="equal">
      <formula>"Other"</formula>
    </cfRule>
    <cfRule type="cellIs" dxfId="48" priority="41" operator="equal">
      <formula>"Roleplaying game"</formula>
    </cfRule>
    <cfRule type="cellIs" dxfId="47" priority="42" operator="equal">
      <formula>"Hybrid game"</formula>
    </cfRule>
    <cfRule type="cellIs" dxfId="46" priority="43" operator="equal">
      <formula>"Board game"</formula>
    </cfRule>
    <cfRule type="cellIs" dxfId="45" priority="44" operator="equal">
      <formula>"Computer"</formula>
    </cfRule>
    <cfRule type="cellIs" dxfId="44" priority="45" operator="equal">
      <formula>"Tabletop"</formula>
    </cfRule>
  </conditionalFormatting>
  <conditionalFormatting sqref="L47">
    <cfRule type="cellIs" dxfId="43" priority="32" operator="equal">
      <formula>"Card game"</formula>
    </cfRule>
    <cfRule type="cellIs" dxfId="42" priority="33" operator="equal">
      <formula>"Other"</formula>
    </cfRule>
    <cfRule type="cellIs" dxfId="41" priority="34" operator="equal">
      <formula>"Roleplaying game"</formula>
    </cfRule>
    <cfRule type="cellIs" dxfId="40" priority="35" operator="equal">
      <formula>"Hybrid game"</formula>
    </cfRule>
    <cfRule type="cellIs" dxfId="39" priority="36" operator="equal">
      <formula>"Board game"</formula>
    </cfRule>
    <cfRule type="cellIs" dxfId="38" priority="37" operator="equal">
      <formula>"Computer"</formula>
    </cfRule>
    <cfRule type="cellIs" dxfId="37" priority="38" operator="equal">
      <formula>"Tabletop"</formula>
    </cfRule>
  </conditionalFormatting>
  <conditionalFormatting sqref="F47">
    <cfRule type="cellIs" dxfId="36" priority="81" operator="equal">
      <formula>"Card game"</formula>
    </cfRule>
    <cfRule type="cellIs" dxfId="35" priority="82" operator="equal">
      <formula>"Other"</formula>
    </cfRule>
    <cfRule type="cellIs" dxfId="34" priority="83" operator="equal">
      <formula>"Roleplaying game"</formula>
    </cfRule>
    <cfRule type="cellIs" dxfId="33" priority="84" operator="equal">
      <formula>"Hybrid game"</formula>
    </cfRule>
    <cfRule type="cellIs" dxfId="32" priority="85" operator="equal">
      <formula>"Board game"</formula>
    </cfRule>
    <cfRule type="cellIs" dxfId="31" priority="86" operator="equal">
      <formula>"Computer"</formula>
    </cfRule>
    <cfRule type="cellIs" dxfId="30" priority="87" operator="equal">
      <formula>"Tabletop"</formula>
    </cfRule>
  </conditionalFormatting>
  <conditionalFormatting sqref="F45">
    <cfRule type="cellIs" dxfId="29" priority="74" operator="equal">
      <formula>"Card game"</formula>
    </cfRule>
    <cfRule type="cellIs" dxfId="28" priority="75" operator="equal">
      <formula>"Other"</formula>
    </cfRule>
    <cfRule type="cellIs" dxfId="27" priority="76" operator="equal">
      <formula>"Roleplaying game"</formula>
    </cfRule>
    <cfRule type="cellIs" dxfId="26" priority="77" operator="equal">
      <formula>"Hybrid game"</formula>
    </cfRule>
    <cfRule type="cellIs" dxfId="25" priority="78" operator="equal">
      <formula>"Board game"</formula>
    </cfRule>
  </conditionalFormatting>
  <conditionalFormatting sqref="N47">
    <cfRule type="cellIs" dxfId="24" priority="24" operator="equal">
      <formula>"Card game"</formula>
    </cfRule>
    <cfRule type="cellIs" dxfId="23" priority="25" operator="equal">
      <formula>"Other"</formula>
    </cfRule>
    <cfRule type="cellIs" dxfId="22" priority="26" operator="equal">
      <formula>"Roleplaying game"</formula>
    </cfRule>
    <cfRule type="cellIs" dxfId="21" priority="27" operator="equal">
      <formula>"Hybrid game"</formula>
    </cfRule>
    <cfRule type="cellIs" dxfId="20" priority="28" operator="equal">
      <formula>"Board game"</formula>
    </cfRule>
    <cfRule type="cellIs" dxfId="19" priority="29" operator="equal">
      <formula>"Computer"</formula>
    </cfRule>
    <cfRule type="cellIs" dxfId="18" priority="30" operator="equal">
      <formula>"Tabletop"</formula>
    </cfRule>
  </conditionalFormatting>
  <conditionalFormatting sqref="C3:C44">
    <cfRule type="cellIs" dxfId="17" priority="22" operator="lessThan">
      <formula>4</formula>
    </cfRule>
    <cfRule type="cellIs" dxfId="16" priority="23" operator="greaterThanOrEqual">
      <formula>4</formula>
    </cfRule>
  </conditionalFormatting>
  <conditionalFormatting sqref="L45 L3:L35">
    <cfRule type="cellIs" dxfId="15" priority="253" operator="equal">
      <formula>$L$51</formula>
    </cfRule>
    <cfRule type="cellIs" dxfId="14" priority="254" operator="equal">
      <formula>$L$50</formula>
    </cfRule>
    <cfRule type="cellIs" dxfId="13" priority="255" operator="equal">
      <formula>$L$49</formula>
    </cfRule>
  </conditionalFormatting>
  <conditionalFormatting sqref="L36">
    <cfRule type="cellIs" dxfId="12" priority="7" operator="equal">
      <formula>$L$51</formula>
    </cfRule>
    <cfRule type="cellIs" dxfId="11" priority="8" operator="equal">
      <formula>$L$50</formula>
    </cfRule>
    <cfRule type="cellIs" dxfId="10" priority="9" operator="equal">
      <formula>$L$49</formula>
    </cfRule>
  </conditionalFormatting>
  <conditionalFormatting sqref="L37:L42">
    <cfRule type="cellIs" dxfId="9" priority="4" operator="equal">
      <formula>$L$51</formula>
    </cfRule>
    <cfRule type="cellIs" dxfId="8" priority="5" operator="equal">
      <formula>$L$50</formula>
    </cfRule>
    <cfRule type="cellIs" dxfId="7" priority="6" operator="equal">
      <formula>$L$49</formula>
    </cfRule>
  </conditionalFormatting>
  <conditionalFormatting sqref="L43:L44">
    <cfRule type="cellIs" dxfId="6" priority="1" operator="equal">
      <formula>$L$51</formula>
    </cfRule>
    <cfRule type="cellIs" dxfId="5" priority="2" operator="equal">
      <formula>$L$50</formula>
    </cfRule>
    <cfRule type="cellIs" dxfId="4" priority="3" operator="equal">
      <formula>$L$49</formula>
    </cfRule>
  </conditionalFormatting>
  <pageMargins left="0.70866141732283472" right="0.70866141732283472" top="0.74803149606299213" bottom="0.74803149606299213" header="0.31496062992125984" footer="0.31496062992125984"/>
  <pageSetup paperSize="8" scale="4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M53"/>
  <sheetViews>
    <sheetView zoomScale="80" zoomScaleNormal="80" workbookViewId="0">
      <pane xSplit="5" ySplit="2" topLeftCell="F45" activePane="bottomRight" state="frozen"/>
      <selection pane="topRight" activeCell="F1" sqref="F1"/>
      <selection pane="bottomLeft" activeCell="A3" sqref="A3"/>
      <selection pane="bottomRight" activeCell="F55" sqref="F55"/>
    </sheetView>
  </sheetViews>
  <sheetFormatPr defaultRowHeight="14.4" x14ac:dyDescent="0.3"/>
  <cols>
    <col min="1" max="1" width="15" style="2" bestFit="1" customWidth="1"/>
    <col min="2" max="2" width="4.33203125" style="12" bestFit="1" customWidth="1"/>
    <col min="3" max="3" width="7.77734375" style="12" bestFit="1" customWidth="1"/>
    <col min="4" max="4" width="7.6640625" style="12" bestFit="1" customWidth="1"/>
    <col min="5" max="5" width="11.6640625" style="41" customWidth="1"/>
    <col min="6" max="6" width="66.6640625" customWidth="1"/>
    <col min="7" max="7" width="2.77734375" customWidth="1"/>
    <col min="8" max="8" width="66.6640625" customWidth="1"/>
    <col min="9" max="9" width="2.77734375" customWidth="1"/>
    <col min="10" max="10" width="66.6640625" customWidth="1"/>
    <col min="11" max="11" width="2.77734375" customWidth="1"/>
    <col min="12" max="12" width="66.6640625" customWidth="1"/>
    <col min="13" max="13" width="2.77734375" customWidth="1"/>
    <col min="14" max="14" width="66.6640625" customWidth="1"/>
    <col min="15" max="15" width="2.77734375" customWidth="1"/>
    <col min="16" max="16" width="43.88671875" customWidth="1"/>
    <col min="17" max="17" width="10.44140625" style="8" bestFit="1" customWidth="1"/>
    <col min="18" max="18" width="34.88671875" style="30" customWidth="1"/>
    <col min="19" max="19" width="13.109375" style="31" bestFit="1" customWidth="1"/>
    <col min="20" max="20" width="13.5546875" bestFit="1" customWidth="1"/>
  </cols>
  <sheetData>
    <row r="1" spans="1:22" s="16" customFormat="1" x14ac:dyDescent="0.3">
      <c r="A1" s="13" t="s">
        <v>10</v>
      </c>
      <c r="B1" s="14"/>
      <c r="C1" s="18" t="s">
        <v>8</v>
      </c>
      <c r="D1" s="43" t="s">
        <v>6</v>
      </c>
      <c r="E1" s="45" t="s">
        <v>5</v>
      </c>
      <c r="F1" s="42" t="s">
        <v>0</v>
      </c>
      <c r="G1" s="15"/>
      <c r="H1" s="15" t="s">
        <v>1</v>
      </c>
      <c r="I1" s="15"/>
      <c r="J1" s="15" t="s">
        <v>2</v>
      </c>
      <c r="K1" s="15"/>
      <c r="L1" s="10" t="s">
        <v>3</v>
      </c>
      <c r="M1" s="13"/>
      <c r="N1" s="15" t="s">
        <v>4</v>
      </c>
      <c r="O1" s="15"/>
      <c r="P1" s="10" t="s">
        <v>11</v>
      </c>
      <c r="Q1" s="28" t="s">
        <v>42</v>
      </c>
      <c r="R1" s="19" t="s">
        <v>51</v>
      </c>
      <c r="S1" s="34" t="s">
        <v>99</v>
      </c>
      <c r="T1" s="16" t="s">
        <v>296</v>
      </c>
    </row>
    <row r="2" spans="1:22" s="1" customFormat="1" ht="25.2" thickBot="1" x14ac:dyDescent="0.35">
      <c r="A2" s="47" t="s">
        <v>12</v>
      </c>
      <c r="B2" s="48" t="s">
        <v>13</v>
      </c>
      <c r="C2" s="49" t="s">
        <v>9</v>
      </c>
      <c r="D2" s="50" t="s">
        <v>7</v>
      </c>
      <c r="E2" s="46" t="s">
        <v>214</v>
      </c>
      <c r="F2" s="44" t="s">
        <v>305</v>
      </c>
      <c r="G2" s="5" t="s">
        <v>8</v>
      </c>
      <c r="H2" s="4" t="s">
        <v>306</v>
      </c>
      <c r="I2" s="5" t="s">
        <v>8</v>
      </c>
      <c r="J2" s="4" t="s">
        <v>212</v>
      </c>
      <c r="K2" s="5" t="s">
        <v>8</v>
      </c>
      <c r="L2" s="66" t="s">
        <v>213</v>
      </c>
      <c r="M2" s="64" t="s">
        <v>8</v>
      </c>
      <c r="N2" s="3" t="s">
        <v>307</v>
      </c>
      <c r="O2" s="5" t="s">
        <v>8</v>
      </c>
      <c r="P2" s="6"/>
      <c r="Q2" s="29"/>
      <c r="R2" s="20"/>
      <c r="S2" s="35"/>
    </row>
    <row r="3" spans="1:22" ht="192" x14ac:dyDescent="0.3">
      <c r="A3" s="9" t="s">
        <v>14</v>
      </c>
      <c r="B3" s="11">
        <v>2011</v>
      </c>
      <c r="C3" s="17">
        <f t="shared" ref="C3:C43" si="0">G3+I3+K3+M3+O3</f>
        <v>5</v>
      </c>
      <c r="D3" s="17" t="str">
        <f t="shared" ref="D3:D45" si="1">IF(Q3="No","No",IF(C3&lt;4,"No","Yes"))</f>
        <v>Yes</v>
      </c>
      <c r="E3" s="31" t="s">
        <v>40</v>
      </c>
      <c r="F3" s="30" t="s">
        <v>312</v>
      </c>
      <c r="G3" s="30">
        <v>1</v>
      </c>
      <c r="H3" s="30" t="s">
        <v>316</v>
      </c>
      <c r="I3" s="30">
        <v>1</v>
      </c>
      <c r="J3" s="30" t="s">
        <v>313</v>
      </c>
      <c r="K3" s="30">
        <v>1</v>
      </c>
      <c r="L3" s="31" t="s">
        <v>64</v>
      </c>
      <c r="M3" s="57">
        <v>1</v>
      </c>
      <c r="N3" s="30" t="s">
        <v>314</v>
      </c>
      <c r="O3" s="30">
        <v>1</v>
      </c>
      <c r="P3" s="31" t="s">
        <v>315</v>
      </c>
    </row>
    <row r="4" spans="1:22" ht="156" x14ac:dyDescent="0.3">
      <c r="A4" s="8" t="s">
        <v>15</v>
      </c>
      <c r="B4" s="11">
        <v>2014</v>
      </c>
      <c r="C4" s="17">
        <f t="shared" si="0"/>
        <v>4</v>
      </c>
      <c r="D4" s="17" t="str">
        <f t="shared" si="1"/>
        <v>Yes</v>
      </c>
      <c r="E4" s="31" t="s">
        <v>38</v>
      </c>
      <c r="F4" s="30" t="s">
        <v>411</v>
      </c>
      <c r="G4" s="30">
        <v>0</v>
      </c>
      <c r="H4" s="30" t="s">
        <v>171</v>
      </c>
      <c r="I4" s="30">
        <v>1</v>
      </c>
      <c r="J4" s="30" t="s">
        <v>170</v>
      </c>
      <c r="K4" s="30">
        <v>1</v>
      </c>
      <c r="L4" s="31" t="s">
        <v>65</v>
      </c>
      <c r="M4" s="57">
        <v>1</v>
      </c>
      <c r="N4" s="30" t="s">
        <v>41</v>
      </c>
      <c r="O4" s="30">
        <v>1</v>
      </c>
      <c r="P4" s="31" t="s">
        <v>478</v>
      </c>
      <c r="T4">
        <v>0</v>
      </c>
    </row>
    <row r="5" spans="1:22" ht="96" x14ac:dyDescent="0.3">
      <c r="A5" s="8" t="s">
        <v>16</v>
      </c>
      <c r="B5" s="11">
        <v>2007</v>
      </c>
      <c r="C5" s="17">
        <f t="shared" si="0"/>
        <v>5</v>
      </c>
      <c r="D5" s="17" t="str">
        <f t="shared" si="1"/>
        <v>Yes</v>
      </c>
      <c r="E5" s="31" t="s">
        <v>39</v>
      </c>
      <c r="F5" s="30" t="s">
        <v>334</v>
      </c>
      <c r="G5" s="30">
        <v>1</v>
      </c>
      <c r="H5" s="30" t="s">
        <v>172</v>
      </c>
      <c r="I5" s="30">
        <v>1</v>
      </c>
      <c r="J5" s="30" t="s">
        <v>301</v>
      </c>
      <c r="K5" s="30">
        <v>1</v>
      </c>
      <c r="L5" s="31" t="s">
        <v>64</v>
      </c>
      <c r="M5" s="57">
        <v>1</v>
      </c>
      <c r="N5" s="30" t="s">
        <v>271</v>
      </c>
      <c r="O5" s="30">
        <v>1</v>
      </c>
      <c r="P5" s="31"/>
      <c r="T5">
        <v>0</v>
      </c>
    </row>
    <row r="6" spans="1:22" ht="132" x14ac:dyDescent="0.3">
      <c r="A6" s="8" t="s">
        <v>17</v>
      </c>
      <c r="B6" s="11">
        <v>2017</v>
      </c>
      <c r="C6" s="17">
        <f t="shared" si="0"/>
        <v>5</v>
      </c>
      <c r="D6" s="17" t="str">
        <f t="shared" si="1"/>
        <v>Yes</v>
      </c>
      <c r="E6" s="31" t="s">
        <v>44</v>
      </c>
      <c r="F6" s="30" t="s">
        <v>335</v>
      </c>
      <c r="G6" s="30">
        <v>1</v>
      </c>
      <c r="H6" s="30" t="s">
        <v>46</v>
      </c>
      <c r="I6" s="30">
        <v>1</v>
      </c>
      <c r="J6" s="30" t="s">
        <v>173</v>
      </c>
      <c r="K6" s="30">
        <v>1</v>
      </c>
      <c r="L6" s="31" t="s">
        <v>64</v>
      </c>
      <c r="M6" s="57">
        <v>1</v>
      </c>
      <c r="N6" s="30" t="s">
        <v>272</v>
      </c>
      <c r="O6" s="30">
        <v>1</v>
      </c>
      <c r="P6" s="41"/>
      <c r="T6">
        <v>1</v>
      </c>
    </row>
    <row r="7" spans="1:22" ht="192" x14ac:dyDescent="0.3">
      <c r="A7" s="8" t="s">
        <v>17</v>
      </c>
      <c r="B7" s="11">
        <v>2015</v>
      </c>
      <c r="C7" s="17">
        <f t="shared" si="0"/>
        <v>5</v>
      </c>
      <c r="D7" s="17" t="str">
        <f t="shared" si="1"/>
        <v>Yes</v>
      </c>
      <c r="E7" s="31" t="s">
        <v>105</v>
      </c>
      <c r="F7" s="30" t="s">
        <v>336</v>
      </c>
      <c r="G7" s="30">
        <v>1</v>
      </c>
      <c r="H7" s="30" t="s">
        <v>106</v>
      </c>
      <c r="I7" s="30">
        <v>1</v>
      </c>
      <c r="J7" s="30" t="s">
        <v>174</v>
      </c>
      <c r="K7" s="30">
        <v>1</v>
      </c>
      <c r="L7" s="31" t="s">
        <v>104</v>
      </c>
      <c r="M7" s="57">
        <v>1</v>
      </c>
      <c r="N7" s="30" t="s">
        <v>479</v>
      </c>
      <c r="O7" s="30">
        <v>1</v>
      </c>
      <c r="P7" s="41"/>
      <c r="T7">
        <v>0</v>
      </c>
    </row>
    <row r="8" spans="1:22" ht="372" x14ac:dyDescent="0.3">
      <c r="A8" s="9" t="s">
        <v>18</v>
      </c>
      <c r="B8" s="11">
        <v>2018</v>
      </c>
      <c r="C8" s="17">
        <f t="shared" si="0"/>
        <v>4</v>
      </c>
      <c r="D8" s="17" t="str">
        <f t="shared" si="1"/>
        <v>Yes</v>
      </c>
      <c r="E8" s="31" t="s">
        <v>311</v>
      </c>
      <c r="F8" s="30" t="s">
        <v>320</v>
      </c>
      <c r="G8" s="30">
        <v>0</v>
      </c>
      <c r="H8" s="30" t="s">
        <v>317</v>
      </c>
      <c r="I8" s="30">
        <v>1</v>
      </c>
      <c r="J8" s="30" t="s">
        <v>318</v>
      </c>
      <c r="K8" s="30">
        <v>1</v>
      </c>
      <c r="L8" s="31" t="s">
        <v>66</v>
      </c>
      <c r="M8" s="57">
        <v>1</v>
      </c>
      <c r="N8" s="30" t="s">
        <v>319</v>
      </c>
      <c r="O8" s="30">
        <v>1</v>
      </c>
      <c r="P8" s="31"/>
    </row>
    <row r="9" spans="1:22" ht="409.6" x14ac:dyDescent="0.3">
      <c r="A9" s="9" t="s">
        <v>122</v>
      </c>
      <c r="B9" s="11">
        <v>2018</v>
      </c>
      <c r="C9" s="17">
        <f t="shared" si="0"/>
        <v>5</v>
      </c>
      <c r="D9" s="17" t="str">
        <f t="shared" si="1"/>
        <v>Yes</v>
      </c>
      <c r="E9" s="31" t="s">
        <v>131</v>
      </c>
      <c r="F9" s="30" t="s">
        <v>337</v>
      </c>
      <c r="G9" s="30">
        <v>1</v>
      </c>
      <c r="H9" s="30" t="s">
        <v>130</v>
      </c>
      <c r="I9" s="30">
        <v>1</v>
      </c>
      <c r="J9" s="30" t="s">
        <v>175</v>
      </c>
      <c r="K9" s="30">
        <v>1</v>
      </c>
      <c r="L9" s="31" t="s">
        <v>66</v>
      </c>
      <c r="M9" s="57">
        <v>1</v>
      </c>
      <c r="N9" s="30" t="s">
        <v>490</v>
      </c>
      <c r="O9" s="30">
        <v>1</v>
      </c>
      <c r="P9" s="31"/>
      <c r="S9" s="41"/>
      <c r="T9">
        <v>1</v>
      </c>
    </row>
    <row r="10" spans="1:22" ht="120" x14ac:dyDescent="0.3">
      <c r="A10" s="8" t="s">
        <v>19</v>
      </c>
      <c r="B10" s="11">
        <v>2012</v>
      </c>
      <c r="C10" s="17">
        <f t="shared" si="0"/>
        <v>5</v>
      </c>
      <c r="D10" s="17" t="str">
        <f t="shared" si="1"/>
        <v>Yes</v>
      </c>
      <c r="E10" s="31" t="s">
        <v>50</v>
      </c>
      <c r="F10" s="30" t="s">
        <v>338</v>
      </c>
      <c r="G10" s="30">
        <v>1</v>
      </c>
      <c r="H10" s="30" t="s">
        <v>163</v>
      </c>
      <c r="I10" s="30">
        <v>1</v>
      </c>
      <c r="J10" s="30" t="s">
        <v>176</v>
      </c>
      <c r="K10" s="30">
        <v>1</v>
      </c>
      <c r="L10" s="31" t="s">
        <v>64</v>
      </c>
      <c r="M10" s="57">
        <v>1</v>
      </c>
      <c r="N10" s="30" t="s">
        <v>49</v>
      </c>
      <c r="O10" s="30">
        <v>1</v>
      </c>
      <c r="P10" s="31"/>
      <c r="T10">
        <v>1</v>
      </c>
    </row>
    <row r="11" spans="1:22" ht="312" x14ac:dyDescent="0.3">
      <c r="A11" s="8" t="s">
        <v>20</v>
      </c>
      <c r="B11" s="11">
        <v>2008</v>
      </c>
      <c r="C11" s="17">
        <f t="shared" si="0"/>
        <v>5</v>
      </c>
      <c r="D11" s="17" t="str">
        <f t="shared" si="1"/>
        <v>Yes</v>
      </c>
      <c r="E11" s="31" t="s">
        <v>52</v>
      </c>
      <c r="F11" s="30" t="s">
        <v>377</v>
      </c>
      <c r="G11" s="30">
        <v>1</v>
      </c>
      <c r="H11" s="30" t="s">
        <v>379</v>
      </c>
      <c r="I11" s="30">
        <v>1</v>
      </c>
      <c r="J11" s="30" t="s">
        <v>378</v>
      </c>
      <c r="K11" s="30">
        <v>1</v>
      </c>
      <c r="L11" s="31" t="s">
        <v>64</v>
      </c>
      <c r="M11" s="57">
        <v>1</v>
      </c>
      <c r="N11" s="30" t="s">
        <v>380</v>
      </c>
      <c r="O11" s="30">
        <v>1</v>
      </c>
      <c r="P11" s="31" t="s">
        <v>375</v>
      </c>
      <c r="Q11" s="57"/>
      <c r="T11" s="7"/>
      <c r="U11" s="7"/>
      <c r="V11" s="21" t="s">
        <v>43</v>
      </c>
    </row>
    <row r="12" spans="1:22" ht="192" x14ac:dyDescent="0.3">
      <c r="A12" s="8" t="s">
        <v>21</v>
      </c>
      <c r="B12" s="11">
        <v>2014</v>
      </c>
      <c r="C12" s="17">
        <f t="shared" si="0"/>
        <v>5</v>
      </c>
      <c r="D12" s="17" t="str">
        <f t="shared" si="1"/>
        <v>Yes</v>
      </c>
      <c r="E12" s="31" t="s">
        <v>54</v>
      </c>
      <c r="F12" s="30" t="s">
        <v>340</v>
      </c>
      <c r="G12" s="30">
        <v>1</v>
      </c>
      <c r="H12" s="30" t="s">
        <v>55</v>
      </c>
      <c r="I12" s="30">
        <v>1</v>
      </c>
      <c r="J12" s="30" t="s">
        <v>177</v>
      </c>
      <c r="K12" s="30">
        <v>1</v>
      </c>
      <c r="L12" s="31" t="s">
        <v>66</v>
      </c>
      <c r="M12" s="57">
        <v>1</v>
      </c>
      <c r="N12" s="30" t="s">
        <v>339</v>
      </c>
      <c r="O12" s="30">
        <v>1</v>
      </c>
      <c r="P12" s="31"/>
      <c r="T12">
        <v>0</v>
      </c>
    </row>
    <row r="13" spans="1:22" ht="168" x14ac:dyDescent="0.3">
      <c r="A13" s="9" t="s">
        <v>22</v>
      </c>
      <c r="B13" s="11">
        <v>2015</v>
      </c>
      <c r="C13" s="17">
        <f t="shared" si="0"/>
        <v>5</v>
      </c>
      <c r="D13" s="17" t="str">
        <f t="shared" si="1"/>
        <v>Yes</v>
      </c>
      <c r="E13" s="31" t="s">
        <v>56</v>
      </c>
      <c r="F13" s="30" t="s">
        <v>341</v>
      </c>
      <c r="G13" s="30">
        <v>1</v>
      </c>
      <c r="H13" s="30" t="s">
        <v>480</v>
      </c>
      <c r="I13" s="30">
        <v>1</v>
      </c>
      <c r="J13" s="30" t="s">
        <v>178</v>
      </c>
      <c r="K13" s="30">
        <v>1</v>
      </c>
      <c r="L13" s="31" t="s">
        <v>64</v>
      </c>
      <c r="M13" s="57">
        <v>1</v>
      </c>
      <c r="N13" s="30" t="s">
        <v>484</v>
      </c>
      <c r="O13" s="30">
        <v>1</v>
      </c>
      <c r="P13" s="31" t="s">
        <v>57</v>
      </c>
      <c r="T13">
        <v>1</v>
      </c>
    </row>
    <row r="14" spans="1:22" ht="288" x14ac:dyDescent="0.3">
      <c r="A14" s="9" t="s">
        <v>23</v>
      </c>
      <c r="B14" s="11">
        <v>2014</v>
      </c>
      <c r="C14" s="17">
        <f t="shared" si="0"/>
        <v>4</v>
      </c>
      <c r="D14" s="17" t="str">
        <f t="shared" si="1"/>
        <v>Yes</v>
      </c>
      <c r="E14" s="31" t="s">
        <v>58</v>
      </c>
      <c r="F14" s="30" t="s">
        <v>342</v>
      </c>
      <c r="G14" s="30">
        <v>0</v>
      </c>
      <c r="H14" s="30" t="s">
        <v>59</v>
      </c>
      <c r="I14" s="30">
        <v>1</v>
      </c>
      <c r="J14" s="30" t="s">
        <v>179</v>
      </c>
      <c r="K14" s="30">
        <v>1</v>
      </c>
      <c r="L14" s="31" t="s">
        <v>98</v>
      </c>
      <c r="M14" s="57">
        <v>1</v>
      </c>
      <c r="N14" s="30" t="s">
        <v>343</v>
      </c>
      <c r="O14" s="30">
        <v>1</v>
      </c>
      <c r="P14" s="31"/>
      <c r="T14">
        <v>0</v>
      </c>
    </row>
    <row r="15" spans="1:22" ht="84" x14ac:dyDescent="0.3">
      <c r="A15" s="8" t="s">
        <v>100</v>
      </c>
      <c r="B15" s="11">
        <v>2012</v>
      </c>
      <c r="C15" s="17">
        <f t="shared" si="0"/>
        <v>4</v>
      </c>
      <c r="D15" s="17" t="str">
        <f t="shared" si="1"/>
        <v>Yes</v>
      </c>
      <c r="E15" s="31" t="s">
        <v>107</v>
      </c>
      <c r="F15" s="30" t="s">
        <v>344</v>
      </c>
      <c r="G15" s="30">
        <v>0</v>
      </c>
      <c r="H15" s="30" t="s">
        <v>109</v>
      </c>
      <c r="I15" s="30">
        <v>1</v>
      </c>
      <c r="J15" s="30" t="s">
        <v>180</v>
      </c>
      <c r="K15" s="30">
        <v>1</v>
      </c>
      <c r="L15" s="31" t="s">
        <v>64</v>
      </c>
      <c r="M15" s="57">
        <v>1</v>
      </c>
      <c r="N15" s="30" t="s">
        <v>108</v>
      </c>
      <c r="O15" s="30">
        <v>1</v>
      </c>
      <c r="P15" s="31"/>
      <c r="T15">
        <v>0</v>
      </c>
    </row>
    <row r="16" spans="1:22" ht="156" x14ac:dyDescent="0.3">
      <c r="A16" s="9" t="s">
        <v>123</v>
      </c>
      <c r="B16" s="11">
        <v>2018</v>
      </c>
      <c r="C16" s="17">
        <f t="shared" si="0"/>
        <v>5</v>
      </c>
      <c r="D16" s="17" t="str">
        <f t="shared" si="1"/>
        <v>Yes</v>
      </c>
      <c r="E16" s="31" t="s">
        <v>136</v>
      </c>
      <c r="F16" s="30" t="s">
        <v>345</v>
      </c>
      <c r="G16" s="30">
        <v>1</v>
      </c>
      <c r="H16" s="30" t="s">
        <v>47</v>
      </c>
      <c r="I16" s="30">
        <v>1</v>
      </c>
      <c r="J16" s="30" t="s">
        <v>181</v>
      </c>
      <c r="K16" s="30">
        <v>1</v>
      </c>
      <c r="L16" s="31" t="s">
        <v>64</v>
      </c>
      <c r="M16" s="57">
        <v>1</v>
      </c>
      <c r="N16" s="30" t="s">
        <v>266</v>
      </c>
      <c r="O16" s="30">
        <v>1</v>
      </c>
      <c r="P16" s="31" t="s">
        <v>132</v>
      </c>
      <c r="R16" s="30" t="s">
        <v>137</v>
      </c>
      <c r="S16" s="41"/>
      <c r="T16">
        <v>0</v>
      </c>
    </row>
    <row r="17" spans="1:28" ht="120" x14ac:dyDescent="0.3">
      <c r="A17" s="9" t="s">
        <v>24</v>
      </c>
      <c r="B17" s="11">
        <v>2011</v>
      </c>
      <c r="C17" s="17">
        <f t="shared" si="0"/>
        <v>5</v>
      </c>
      <c r="D17" s="17" t="str">
        <f t="shared" si="1"/>
        <v>Yes</v>
      </c>
      <c r="E17" s="31" t="s">
        <v>60</v>
      </c>
      <c r="F17" s="30" t="s">
        <v>346</v>
      </c>
      <c r="G17" s="30">
        <v>1</v>
      </c>
      <c r="H17" s="30" t="s">
        <v>182</v>
      </c>
      <c r="I17" s="30">
        <v>1</v>
      </c>
      <c r="J17" s="30" t="s">
        <v>183</v>
      </c>
      <c r="K17" s="30">
        <v>1</v>
      </c>
      <c r="L17" s="31" t="s">
        <v>64</v>
      </c>
      <c r="M17" s="57">
        <v>1</v>
      </c>
      <c r="N17" s="30" t="s">
        <v>485</v>
      </c>
      <c r="O17" s="30">
        <v>1</v>
      </c>
      <c r="P17" s="31" t="s">
        <v>61</v>
      </c>
      <c r="T17">
        <v>1</v>
      </c>
    </row>
    <row r="18" spans="1:28" ht="264" x14ac:dyDescent="0.3">
      <c r="A18" s="9" t="s">
        <v>25</v>
      </c>
      <c r="B18" s="11">
        <v>2014</v>
      </c>
      <c r="C18" s="17">
        <f t="shared" si="0"/>
        <v>4</v>
      </c>
      <c r="D18" s="17" t="str">
        <f t="shared" si="1"/>
        <v>Yes</v>
      </c>
      <c r="E18" s="31" t="s">
        <v>62</v>
      </c>
      <c r="F18" s="30" t="s">
        <v>347</v>
      </c>
      <c r="G18" s="30">
        <v>0</v>
      </c>
      <c r="H18" s="30" t="s">
        <v>482</v>
      </c>
      <c r="I18" s="30">
        <v>1</v>
      </c>
      <c r="J18" s="30" t="s">
        <v>481</v>
      </c>
      <c r="K18" s="30">
        <v>1</v>
      </c>
      <c r="L18" s="31" t="s">
        <v>64</v>
      </c>
      <c r="M18" s="57">
        <v>1</v>
      </c>
      <c r="N18" s="30" t="s">
        <v>276</v>
      </c>
      <c r="O18" s="30">
        <v>1</v>
      </c>
      <c r="P18" s="31"/>
      <c r="T18">
        <v>0</v>
      </c>
    </row>
    <row r="19" spans="1:28" ht="168" x14ac:dyDescent="0.3">
      <c r="A19" s="9" t="s">
        <v>26</v>
      </c>
      <c r="B19" s="11">
        <v>2014</v>
      </c>
      <c r="C19" s="17">
        <f t="shared" si="0"/>
        <v>5</v>
      </c>
      <c r="D19" s="17" t="str">
        <f t="shared" si="1"/>
        <v>Yes</v>
      </c>
      <c r="E19" s="31" t="s">
        <v>63</v>
      </c>
      <c r="F19" s="30" t="s">
        <v>348</v>
      </c>
      <c r="G19" s="30">
        <v>1</v>
      </c>
      <c r="H19" s="30" t="s">
        <v>303</v>
      </c>
      <c r="I19" s="30">
        <v>1</v>
      </c>
      <c r="J19" s="30" t="s">
        <v>304</v>
      </c>
      <c r="K19" s="30">
        <v>1</v>
      </c>
      <c r="L19" s="31" t="s">
        <v>64</v>
      </c>
      <c r="M19" s="57">
        <v>1</v>
      </c>
      <c r="N19" s="30" t="s">
        <v>486</v>
      </c>
      <c r="O19" s="30">
        <v>1</v>
      </c>
      <c r="P19" s="31"/>
      <c r="T19">
        <v>1</v>
      </c>
    </row>
    <row r="20" spans="1:28" ht="228" x14ac:dyDescent="0.3">
      <c r="A20" s="9" t="s">
        <v>124</v>
      </c>
      <c r="B20" s="11">
        <v>2018</v>
      </c>
      <c r="C20" s="17">
        <f t="shared" si="0"/>
        <v>5</v>
      </c>
      <c r="D20" s="17" t="str">
        <f t="shared" si="1"/>
        <v>Yes</v>
      </c>
      <c r="E20" s="31" t="s">
        <v>48</v>
      </c>
      <c r="F20" s="30" t="s">
        <v>349</v>
      </c>
      <c r="G20" s="30">
        <v>1</v>
      </c>
      <c r="H20" s="30" t="s">
        <v>246</v>
      </c>
      <c r="I20" s="30">
        <v>1</v>
      </c>
      <c r="J20" s="30" t="s">
        <v>135</v>
      </c>
      <c r="K20" s="30">
        <v>1</v>
      </c>
      <c r="L20" s="31" t="s">
        <v>66</v>
      </c>
      <c r="M20" s="57">
        <v>1</v>
      </c>
      <c r="N20" s="30" t="s">
        <v>267</v>
      </c>
      <c r="O20" s="30">
        <v>1</v>
      </c>
      <c r="P20" s="31" t="s">
        <v>134</v>
      </c>
      <c r="S20" s="41"/>
      <c r="T20">
        <v>0</v>
      </c>
    </row>
    <row r="21" spans="1:28" ht="408" x14ac:dyDescent="0.3">
      <c r="A21" s="9" t="s">
        <v>125</v>
      </c>
      <c r="B21" s="11">
        <v>2018</v>
      </c>
      <c r="C21" s="17">
        <f t="shared" si="0"/>
        <v>5</v>
      </c>
      <c r="D21" s="17" t="str">
        <f t="shared" si="1"/>
        <v>Yes</v>
      </c>
      <c r="E21" s="31" t="s">
        <v>139</v>
      </c>
      <c r="F21" s="30" t="s">
        <v>351</v>
      </c>
      <c r="G21" s="30">
        <v>1</v>
      </c>
      <c r="H21" s="30" t="s">
        <v>141</v>
      </c>
      <c r="I21" s="30">
        <v>1</v>
      </c>
      <c r="J21" s="30" t="s">
        <v>142</v>
      </c>
      <c r="K21" s="30">
        <v>1</v>
      </c>
      <c r="L21" s="31" t="s">
        <v>133</v>
      </c>
      <c r="M21" s="57">
        <v>1</v>
      </c>
      <c r="N21" s="30" t="s">
        <v>350</v>
      </c>
      <c r="O21" s="30">
        <v>1</v>
      </c>
      <c r="P21" s="31" t="s">
        <v>140</v>
      </c>
      <c r="S21" s="31" t="s">
        <v>277</v>
      </c>
      <c r="T21">
        <v>0</v>
      </c>
      <c r="U21" t="s">
        <v>297</v>
      </c>
    </row>
    <row r="22" spans="1:28" ht="288" x14ac:dyDescent="0.3">
      <c r="A22" s="9" t="s">
        <v>27</v>
      </c>
      <c r="B22" s="11">
        <v>2017</v>
      </c>
      <c r="C22" s="17">
        <f t="shared" si="0"/>
        <v>5</v>
      </c>
      <c r="D22" s="17" t="str">
        <f t="shared" si="1"/>
        <v>Yes</v>
      </c>
      <c r="E22" s="31" t="s">
        <v>67</v>
      </c>
      <c r="F22" s="30" t="s">
        <v>352</v>
      </c>
      <c r="G22" s="30">
        <v>1</v>
      </c>
      <c r="H22" s="30" t="s">
        <v>494</v>
      </c>
      <c r="I22" s="30">
        <v>1</v>
      </c>
      <c r="J22" s="30" t="s">
        <v>493</v>
      </c>
      <c r="K22" s="30">
        <v>1</v>
      </c>
      <c r="L22" s="31" t="s">
        <v>64</v>
      </c>
      <c r="M22" s="57">
        <v>1</v>
      </c>
      <c r="N22" s="30" t="s">
        <v>353</v>
      </c>
      <c r="O22" s="30">
        <v>1</v>
      </c>
      <c r="P22" s="31"/>
      <c r="T22">
        <v>1</v>
      </c>
    </row>
    <row r="23" spans="1:28" ht="144" x14ac:dyDescent="0.3">
      <c r="A23" s="9" t="s">
        <v>126</v>
      </c>
      <c r="B23" s="11">
        <v>2018</v>
      </c>
      <c r="C23" s="17">
        <f t="shared" si="0"/>
        <v>5</v>
      </c>
      <c r="D23" s="17" t="str">
        <f t="shared" si="1"/>
        <v>Yes</v>
      </c>
      <c r="E23" s="31" t="s">
        <v>143</v>
      </c>
      <c r="F23" s="30" t="s">
        <v>354</v>
      </c>
      <c r="G23" s="30">
        <v>1</v>
      </c>
      <c r="H23" s="30" t="s">
        <v>146</v>
      </c>
      <c r="I23" s="30">
        <v>1</v>
      </c>
      <c r="J23" s="30" t="s">
        <v>147</v>
      </c>
      <c r="K23" s="30">
        <v>1</v>
      </c>
      <c r="L23" s="31" t="s">
        <v>66</v>
      </c>
      <c r="M23" s="57">
        <v>1</v>
      </c>
      <c r="N23" s="30" t="s">
        <v>268</v>
      </c>
      <c r="O23" s="30">
        <v>1</v>
      </c>
      <c r="P23" s="31" t="s">
        <v>145</v>
      </c>
      <c r="R23" s="30" t="s">
        <v>144</v>
      </c>
      <c r="S23" s="41"/>
      <c r="T23">
        <v>1</v>
      </c>
    </row>
    <row r="24" spans="1:28" ht="252" x14ac:dyDescent="0.3">
      <c r="A24" s="9" t="s">
        <v>101</v>
      </c>
      <c r="B24" s="11">
        <v>2015</v>
      </c>
      <c r="C24" s="17">
        <f t="shared" si="0"/>
        <v>5</v>
      </c>
      <c r="D24" s="17" t="str">
        <f t="shared" si="1"/>
        <v>Yes</v>
      </c>
      <c r="E24" s="31" t="s">
        <v>381</v>
      </c>
      <c r="F24" s="30" t="s">
        <v>382</v>
      </c>
      <c r="G24" s="30">
        <v>1</v>
      </c>
      <c r="H24" s="30" t="s">
        <v>385</v>
      </c>
      <c r="I24" s="30">
        <v>1</v>
      </c>
      <c r="J24" s="30" t="s">
        <v>383</v>
      </c>
      <c r="K24" s="30">
        <v>1</v>
      </c>
      <c r="L24" s="31" t="s">
        <v>64</v>
      </c>
      <c r="M24" s="57">
        <v>1</v>
      </c>
      <c r="N24" s="30" t="s">
        <v>384</v>
      </c>
      <c r="O24" s="30">
        <v>1</v>
      </c>
      <c r="P24" s="31"/>
      <c r="S24" s="41"/>
    </row>
    <row r="25" spans="1:28" ht="276" x14ac:dyDescent="0.3">
      <c r="A25" s="9" t="s">
        <v>28</v>
      </c>
      <c r="B25" s="11">
        <v>2013</v>
      </c>
      <c r="C25" s="17">
        <f t="shared" si="0"/>
        <v>5</v>
      </c>
      <c r="D25" s="17" t="str">
        <f t="shared" si="1"/>
        <v>Yes</v>
      </c>
      <c r="E25" s="31" t="s">
        <v>68</v>
      </c>
      <c r="F25" s="30" t="s">
        <v>355</v>
      </c>
      <c r="G25" s="30">
        <v>1</v>
      </c>
      <c r="H25" s="30" t="s">
        <v>69</v>
      </c>
      <c r="I25" s="30">
        <v>1</v>
      </c>
      <c r="J25" s="30" t="s">
        <v>184</v>
      </c>
      <c r="K25" s="30">
        <v>1</v>
      </c>
      <c r="L25" s="31" t="s">
        <v>66</v>
      </c>
      <c r="M25" s="57">
        <v>1</v>
      </c>
      <c r="N25" s="30" t="s">
        <v>280</v>
      </c>
      <c r="O25" s="30">
        <v>1</v>
      </c>
      <c r="P25" s="41"/>
      <c r="T25">
        <v>0</v>
      </c>
    </row>
    <row r="26" spans="1:28" ht="180" x14ac:dyDescent="0.3">
      <c r="A26" s="9" t="s">
        <v>102</v>
      </c>
      <c r="B26" s="11">
        <v>2012</v>
      </c>
      <c r="C26" s="17">
        <f t="shared" si="0"/>
        <v>4</v>
      </c>
      <c r="D26" s="17" t="str">
        <f t="shared" si="1"/>
        <v>Yes</v>
      </c>
      <c r="E26" s="31"/>
      <c r="F26" s="30" t="s">
        <v>358</v>
      </c>
      <c r="G26" s="30">
        <v>0</v>
      </c>
      <c r="H26" s="30" t="s">
        <v>185</v>
      </c>
      <c r="I26" s="30">
        <v>1</v>
      </c>
      <c r="J26" s="30" t="s">
        <v>186</v>
      </c>
      <c r="K26" s="30">
        <v>1</v>
      </c>
      <c r="L26" s="31" t="s">
        <v>66</v>
      </c>
      <c r="M26" s="57">
        <v>1</v>
      </c>
      <c r="N26" s="30" t="s">
        <v>357</v>
      </c>
      <c r="O26" s="30">
        <v>1</v>
      </c>
      <c r="P26" s="31" t="s">
        <v>356</v>
      </c>
      <c r="T26">
        <v>0</v>
      </c>
      <c r="U26" s="39"/>
      <c r="V26" s="39"/>
      <c r="W26" s="39"/>
      <c r="X26" s="39"/>
      <c r="Y26" s="39"/>
      <c r="Z26" s="39"/>
      <c r="AA26" s="39"/>
      <c r="AB26" s="39"/>
    </row>
    <row r="27" spans="1:28" ht="264" x14ac:dyDescent="0.3">
      <c r="A27" s="9" t="s">
        <v>127</v>
      </c>
      <c r="B27" s="11">
        <v>2018</v>
      </c>
      <c r="C27" s="17">
        <f t="shared" si="0"/>
        <v>5</v>
      </c>
      <c r="D27" s="17" t="str">
        <f t="shared" si="1"/>
        <v>Yes</v>
      </c>
      <c r="E27" s="31" t="s">
        <v>80</v>
      </c>
      <c r="F27" s="30" t="s">
        <v>359</v>
      </c>
      <c r="G27" s="30">
        <v>1</v>
      </c>
      <c r="H27" s="30" t="s">
        <v>149</v>
      </c>
      <c r="I27" s="30">
        <v>1</v>
      </c>
      <c r="J27" s="30" t="s">
        <v>476</v>
      </c>
      <c r="K27" s="30">
        <v>1</v>
      </c>
      <c r="L27" s="31" t="s">
        <v>66</v>
      </c>
      <c r="M27" s="57">
        <v>1</v>
      </c>
      <c r="N27" s="30" t="s">
        <v>269</v>
      </c>
      <c r="O27" s="30">
        <v>1</v>
      </c>
      <c r="P27" s="31" t="s">
        <v>148</v>
      </c>
      <c r="R27" s="30" t="s">
        <v>150</v>
      </c>
      <c r="S27" s="41"/>
      <c r="T27">
        <v>1</v>
      </c>
    </row>
    <row r="28" spans="1:28" ht="409.6" x14ac:dyDescent="0.3">
      <c r="A28" s="9" t="s">
        <v>308</v>
      </c>
      <c r="B28" s="11">
        <v>2018</v>
      </c>
      <c r="C28" s="17">
        <f t="shared" si="0"/>
        <v>5</v>
      </c>
      <c r="D28" s="17" t="str">
        <f t="shared" si="1"/>
        <v>Yes</v>
      </c>
      <c r="E28" s="31" t="s">
        <v>107</v>
      </c>
      <c r="F28" s="30" t="s">
        <v>325</v>
      </c>
      <c r="G28" s="30">
        <v>1</v>
      </c>
      <c r="H28" s="30" t="s">
        <v>322</v>
      </c>
      <c r="I28" s="30">
        <v>1</v>
      </c>
      <c r="J28" s="30" t="s">
        <v>323</v>
      </c>
      <c r="K28" s="30">
        <v>1</v>
      </c>
      <c r="L28" s="31" t="s">
        <v>324</v>
      </c>
      <c r="M28" s="57">
        <v>1</v>
      </c>
      <c r="N28" s="30" t="s">
        <v>487</v>
      </c>
      <c r="O28" s="30">
        <v>1</v>
      </c>
      <c r="P28" s="31"/>
      <c r="R28" s="30" t="s">
        <v>321</v>
      </c>
    </row>
    <row r="29" spans="1:28" ht="192" x14ac:dyDescent="0.3">
      <c r="A29" s="9" t="s">
        <v>309</v>
      </c>
      <c r="B29" s="11">
        <v>2016</v>
      </c>
      <c r="C29" s="17">
        <f t="shared" si="0"/>
        <v>4</v>
      </c>
      <c r="D29" s="17" t="str">
        <f t="shared" si="1"/>
        <v>Yes</v>
      </c>
      <c r="E29" s="31"/>
      <c r="F29" s="30" t="s">
        <v>328</v>
      </c>
      <c r="G29" s="30">
        <v>0</v>
      </c>
      <c r="H29" s="30" t="s">
        <v>326</v>
      </c>
      <c r="I29" s="30">
        <v>1</v>
      </c>
      <c r="J29" s="30" t="s">
        <v>329</v>
      </c>
      <c r="K29" s="30">
        <v>1</v>
      </c>
      <c r="L29" s="31" t="s">
        <v>65</v>
      </c>
      <c r="M29" s="57">
        <v>1</v>
      </c>
      <c r="N29" s="30" t="s">
        <v>327</v>
      </c>
      <c r="O29" s="30">
        <v>1</v>
      </c>
      <c r="P29" s="31"/>
    </row>
    <row r="30" spans="1:28" ht="288" x14ac:dyDescent="0.3">
      <c r="A30" s="9" t="s">
        <v>128</v>
      </c>
      <c r="B30" s="11">
        <v>2016</v>
      </c>
      <c r="C30" s="17">
        <f t="shared" si="0"/>
        <v>5</v>
      </c>
      <c r="D30" s="17" t="str">
        <f t="shared" si="1"/>
        <v>Yes</v>
      </c>
      <c r="E30" s="31" t="s">
        <v>70</v>
      </c>
      <c r="F30" s="30" t="s">
        <v>360</v>
      </c>
      <c r="G30" s="30">
        <v>1</v>
      </c>
      <c r="H30" s="30" t="s">
        <v>71</v>
      </c>
      <c r="I30" s="30">
        <v>1</v>
      </c>
      <c r="J30" s="30" t="s">
        <v>187</v>
      </c>
      <c r="K30" s="30">
        <v>1</v>
      </c>
      <c r="L30" s="31" t="s">
        <v>66</v>
      </c>
      <c r="M30" s="57">
        <v>1</v>
      </c>
      <c r="N30" s="30" t="s">
        <v>72</v>
      </c>
      <c r="O30" s="30">
        <v>1</v>
      </c>
      <c r="P30" s="31"/>
      <c r="T30">
        <v>1</v>
      </c>
    </row>
    <row r="31" spans="1:28" ht="168" x14ac:dyDescent="0.3">
      <c r="A31" s="9" t="s">
        <v>129</v>
      </c>
      <c r="B31" s="11">
        <v>2018</v>
      </c>
      <c r="C31" s="17">
        <f t="shared" si="0"/>
        <v>5</v>
      </c>
      <c r="D31" s="17" t="str">
        <f t="shared" si="1"/>
        <v>Yes</v>
      </c>
      <c r="E31" s="31" t="s">
        <v>151</v>
      </c>
      <c r="F31" s="30" t="s">
        <v>409</v>
      </c>
      <c r="G31" s="30">
        <v>1</v>
      </c>
      <c r="H31" s="30" t="s">
        <v>153</v>
      </c>
      <c r="I31" s="30">
        <v>1</v>
      </c>
      <c r="J31" s="30" t="s">
        <v>361</v>
      </c>
      <c r="K31" s="30">
        <v>1</v>
      </c>
      <c r="L31" s="31" t="s">
        <v>65</v>
      </c>
      <c r="M31" s="57">
        <v>1</v>
      </c>
      <c r="N31" s="30" t="s">
        <v>270</v>
      </c>
      <c r="O31" s="30">
        <v>1</v>
      </c>
      <c r="P31" s="31" t="s">
        <v>152</v>
      </c>
      <c r="S31" s="41"/>
      <c r="T31">
        <v>0</v>
      </c>
      <c r="U31" t="s">
        <v>297</v>
      </c>
    </row>
    <row r="32" spans="1:28" ht="168" x14ac:dyDescent="0.3">
      <c r="A32" s="9" t="s">
        <v>29</v>
      </c>
      <c r="B32" s="11">
        <v>2016</v>
      </c>
      <c r="C32" s="17">
        <f t="shared" si="0"/>
        <v>5</v>
      </c>
      <c r="D32" s="17" t="str">
        <f t="shared" si="1"/>
        <v>Yes</v>
      </c>
      <c r="E32" s="31" t="s">
        <v>73</v>
      </c>
      <c r="F32" s="30" t="s">
        <v>362</v>
      </c>
      <c r="G32" s="30">
        <v>1</v>
      </c>
      <c r="H32" s="30" t="s">
        <v>74</v>
      </c>
      <c r="I32" s="30">
        <v>1</v>
      </c>
      <c r="J32" s="30" t="s">
        <v>189</v>
      </c>
      <c r="K32" s="30">
        <v>1</v>
      </c>
      <c r="L32" s="31" t="s">
        <v>66</v>
      </c>
      <c r="M32" s="57">
        <v>1</v>
      </c>
      <c r="N32" s="30" t="s">
        <v>284</v>
      </c>
      <c r="O32" s="30">
        <v>1</v>
      </c>
      <c r="P32" s="31"/>
      <c r="R32" s="30" t="s">
        <v>363</v>
      </c>
      <c r="T32">
        <v>1</v>
      </c>
    </row>
    <row r="33" spans="1:39" ht="216" x14ac:dyDescent="0.3">
      <c r="A33" s="9" t="s">
        <v>30</v>
      </c>
      <c r="B33" s="11">
        <v>2016</v>
      </c>
      <c r="C33" s="17">
        <f t="shared" si="0"/>
        <v>5</v>
      </c>
      <c r="D33" s="17" t="str">
        <f t="shared" si="1"/>
        <v>Yes</v>
      </c>
      <c r="E33" s="31" t="s">
        <v>78</v>
      </c>
      <c r="F33" s="30" t="s">
        <v>364</v>
      </c>
      <c r="G33" s="30">
        <v>1</v>
      </c>
      <c r="H33" s="30" t="s">
        <v>76</v>
      </c>
      <c r="I33" s="30">
        <v>1</v>
      </c>
      <c r="J33" s="30" t="s">
        <v>188</v>
      </c>
      <c r="K33" s="30">
        <v>1</v>
      </c>
      <c r="L33" s="31" t="s">
        <v>66</v>
      </c>
      <c r="M33" s="57">
        <v>1</v>
      </c>
      <c r="N33" s="30" t="s">
        <v>491</v>
      </c>
      <c r="O33" s="30">
        <v>1</v>
      </c>
      <c r="P33" s="31" t="s">
        <v>77</v>
      </c>
      <c r="T33">
        <v>1</v>
      </c>
    </row>
    <row r="34" spans="1:39" ht="336" x14ac:dyDescent="0.3">
      <c r="A34" s="9" t="s">
        <v>31</v>
      </c>
      <c r="B34" s="11">
        <v>2016</v>
      </c>
      <c r="C34" s="17">
        <f t="shared" si="0"/>
        <v>5</v>
      </c>
      <c r="D34" s="17" t="str">
        <f t="shared" si="1"/>
        <v>Yes</v>
      </c>
      <c r="E34" s="31" t="s">
        <v>80</v>
      </c>
      <c r="F34" s="30" t="s">
        <v>365</v>
      </c>
      <c r="G34" s="30">
        <v>1</v>
      </c>
      <c r="H34" s="30" t="s">
        <v>79</v>
      </c>
      <c r="I34" s="30">
        <v>1</v>
      </c>
      <c r="J34" s="30" t="s">
        <v>190</v>
      </c>
      <c r="K34" s="30">
        <v>1</v>
      </c>
      <c r="L34" s="31" t="s">
        <v>64</v>
      </c>
      <c r="M34" s="57">
        <v>1</v>
      </c>
      <c r="N34" s="30" t="s">
        <v>285</v>
      </c>
      <c r="O34" s="30">
        <v>1</v>
      </c>
      <c r="P34" s="31"/>
      <c r="T34">
        <v>1</v>
      </c>
    </row>
    <row r="35" spans="1:39" ht="168" x14ac:dyDescent="0.3">
      <c r="A35" s="9" t="s">
        <v>310</v>
      </c>
      <c r="B35" s="11">
        <v>2013</v>
      </c>
      <c r="C35" s="17">
        <f t="shared" si="0"/>
        <v>4</v>
      </c>
      <c r="D35" s="17" t="str">
        <f t="shared" si="1"/>
        <v>Yes</v>
      </c>
      <c r="E35" s="31"/>
      <c r="F35" s="30" t="s">
        <v>330</v>
      </c>
      <c r="G35" s="30">
        <v>0</v>
      </c>
      <c r="H35" s="30" t="s">
        <v>331</v>
      </c>
      <c r="I35" s="30">
        <v>1</v>
      </c>
      <c r="J35" s="30" t="s">
        <v>332</v>
      </c>
      <c r="K35" s="30">
        <v>1</v>
      </c>
      <c r="L35" s="31" t="s">
        <v>121</v>
      </c>
      <c r="M35" s="57">
        <v>1</v>
      </c>
      <c r="N35" s="30" t="s">
        <v>333</v>
      </c>
      <c r="O35" s="30">
        <v>1</v>
      </c>
      <c r="P35" s="31"/>
    </row>
    <row r="36" spans="1:39" ht="168.6" customHeight="1" x14ac:dyDescent="0.3">
      <c r="A36" s="9" t="s">
        <v>103</v>
      </c>
      <c r="B36" s="11">
        <v>2010</v>
      </c>
      <c r="C36" s="17">
        <f t="shared" si="0"/>
        <v>5</v>
      </c>
      <c r="D36" s="17" t="str">
        <f t="shared" si="1"/>
        <v>Yes</v>
      </c>
      <c r="E36" s="31" t="s">
        <v>110</v>
      </c>
      <c r="F36" s="30" t="s">
        <v>386</v>
      </c>
      <c r="G36" s="30">
        <v>1</v>
      </c>
      <c r="H36" s="30" t="s">
        <v>47</v>
      </c>
      <c r="I36" s="30">
        <v>1</v>
      </c>
      <c r="J36" s="30" t="s">
        <v>387</v>
      </c>
      <c r="K36" s="30">
        <v>1</v>
      </c>
      <c r="L36" s="31" t="s">
        <v>64</v>
      </c>
      <c r="M36" s="57">
        <v>1</v>
      </c>
      <c r="N36" s="53" t="s">
        <v>488</v>
      </c>
      <c r="O36" s="30">
        <v>1</v>
      </c>
      <c r="P36" s="31"/>
      <c r="T36" s="7"/>
      <c r="U36" s="7"/>
      <c r="V36" s="7"/>
      <c r="W36" s="7"/>
      <c r="X36" s="7"/>
      <c r="Z36" s="7"/>
      <c r="AA36" s="7"/>
      <c r="AD36" s="30"/>
      <c r="AE36" s="39"/>
      <c r="AF36" s="39"/>
      <c r="AG36" s="39"/>
      <c r="AH36" s="39"/>
      <c r="AI36" s="39"/>
      <c r="AJ36" s="39"/>
      <c r="AK36" s="39"/>
      <c r="AL36" s="39"/>
      <c r="AM36" s="39"/>
    </row>
    <row r="37" spans="1:39" ht="276" x14ac:dyDescent="0.3">
      <c r="A37" s="9" t="s">
        <v>32</v>
      </c>
      <c r="B37" s="11">
        <v>2014</v>
      </c>
      <c r="C37" s="17">
        <f t="shared" si="0"/>
        <v>4</v>
      </c>
      <c r="D37" s="17" t="str">
        <f t="shared" si="1"/>
        <v>Yes</v>
      </c>
      <c r="E37" s="31" t="s">
        <v>81</v>
      </c>
      <c r="F37" s="30" t="s">
        <v>366</v>
      </c>
      <c r="G37" s="30">
        <v>0</v>
      </c>
      <c r="H37" s="30" t="s">
        <v>82</v>
      </c>
      <c r="I37" s="30">
        <v>1</v>
      </c>
      <c r="J37" s="30" t="s">
        <v>191</v>
      </c>
      <c r="K37" s="30">
        <v>1</v>
      </c>
      <c r="L37" s="31" t="s">
        <v>64</v>
      </c>
      <c r="M37" s="57">
        <v>1</v>
      </c>
      <c r="N37" s="30" t="s">
        <v>286</v>
      </c>
      <c r="O37" s="30">
        <v>1</v>
      </c>
      <c r="P37" s="31" t="s">
        <v>83</v>
      </c>
      <c r="T37">
        <v>0</v>
      </c>
    </row>
    <row r="38" spans="1:39" ht="252" x14ac:dyDescent="0.3">
      <c r="A38" s="9" t="s">
        <v>33</v>
      </c>
      <c r="B38" s="11">
        <v>2011</v>
      </c>
      <c r="C38" s="17">
        <f t="shared" si="0"/>
        <v>5</v>
      </c>
      <c r="D38" s="17" t="str">
        <f t="shared" si="1"/>
        <v>Yes</v>
      </c>
      <c r="E38" s="31" t="s">
        <v>84</v>
      </c>
      <c r="F38" s="30" t="s">
        <v>367</v>
      </c>
      <c r="G38" s="30">
        <v>1</v>
      </c>
      <c r="H38" s="30" t="s">
        <v>85</v>
      </c>
      <c r="I38" s="30">
        <v>1</v>
      </c>
      <c r="J38" s="30" t="s">
        <v>192</v>
      </c>
      <c r="K38" s="30">
        <v>1</v>
      </c>
      <c r="L38" s="31" t="s">
        <v>64</v>
      </c>
      <c r="M38" s="57">
        <v>1</v>
      </c>
      <c r="N38" s="30" t="s">
        <v>86</v>
      </c>
      <c r="O38" s="30">
        <v>1</v>
      </c>
      <c r="P38" s="31"/>
      <c r="T38">
        <v>1</v>
      </c>
    </row>
    <row r="39" spans="1:39" ht="120" x14ac:dyDescent="0.3">
      <c r="A39" s="9" t="s">
        <v>376</v>
      </c>
      <c r="B39" s="11">
        <v>2015</v>
      </c>
      <c r="C39" s="17">
        <f t="shared" si="0"/>
        <v>5</v>
      </c>
      <c r="D39" s="17" t="str">
        <f t="shared" si="1"/>
        <v>Yes</v>
      </c>
      <c r="E39" s="31" t="s">
        <v>389</v>
      </c>
      <c r="F39" s="30" t="s">
        <v>388</v>
      </c>
      <c r="G39" s="30">
        <v>1</v>
      </c>
      <c r="H39" s="30" t="s">
        <v>474</v>
      </c>
      <c r="I39" s="30">
        <v>1</v>
      </c>
      <c r="J39" s="30" t="s">
        <v>390</v>
      </c>
      <c r="K39" s="30">
        <v>1</v>
      </c>
      <c r="L39" s="31" t="s">
        <v>65</v>
      </c>
      <c r="M39" s="57">
        <v>1</v>
      </c>
      <c r="N39" s="30" t="s">
        <v>391</v>
      </c>
      <c r="O39" s="30">
        <v>1</v>
      </c>
      <c r="P39" s="31"/>
    </row>
    <row r="40" spans="1:39" ht="228" x14ac:dyDescent="0.3">
      <c r="A40" s="9" t="s">
        <v>34</v>
      </c>
      <c r="B40" s="11">
        <v>2018</v>
      </c>
      <c r="C40" s="17">
        <f t="shared" si="0"/>
        <v>5</v>
      </c>
      <c r="D40" s="17" t="str">
        <f t="shared" si="1"/>
        <v>Yes</v>
      </c>
      <c r="E40" s="31" t="s">
        <v>87</v>
      </c>
      <c r="F40" s="30" t="s">
        <v>368</v>
      </c>
      <c r="G40" s="30">
        <v>1</v>
      </c>
      <c r="H40" s="30" t="s">
        <v>88</v>
      </c>
      <c r="I40" s="30">
        <v>1</v>
      </c>
      <c r="J40" s="30" t="s">
        <v>193</v>
      </c>
      <c r="K40" s="30">
        <v>1</v>
      </c>
      <c r="L40" s="31" t="s">
        <v>64</v>
      </c>
      <c r="M40" s="57">
        <v>1</v>
      </c>
      <c r="N40" s="30" t="s">
        <v>287</v>
      </c>
      <c r="O40" s="30">
        <v>1</v>
      </c>
      <c r="P40" s="31"/>
      <c r="R40" s="30" t="s">
        <v>369</v>
      </c>
      <c r="T40">
        <v>0</v>
      </c>
    </row>
    <row r="41" spans="1:39" ht="372" x14ac:dyDescent="0.3">
      <c r="A41" s="9" t="s">
        <v>35</v>
      </c>
      <c r="B41" s="11">
        <v>2012</v>
      </c>
      <c r="C41" s="17">
        <f t="shared" si="0"/>
        <v>5</v>
      </c>
      <c r="D41" s="17" t="str">
        <f t="shared" si="1"/>
        <v>Yes</v>
      </c>
      <c r="E41" s="31" t="s">
        <v>89</v>
      </c>
      <c r="F41" s="30" t="s">
        <v>370</v>
      </c>
      <c r="G41" s="30">
        <v>1</v>
      </c>
      <c r="H41" s="30" t="s">
        <v>194</v>
      </c>
      <c r="I41" s="30">
        <v>1</v>
      </c>
      <c r="J41" s="30" t="s">
        <v>468</v>
      </c>
      <c r="K41" s="30">
        <v>1</v>
      </c>
      <c r="L41" s="31" t="s">
        <v>64</v>
      </c>
      <c r="M41" s="57">
        <v>1</v>
      </c>
      <c r="N41" s="30" t="s">
        <v>288</v>
      </c>
      <c r="O41" s="30">
        <v>1</v>
      </c>
      <c r="P41" s="31"/>
      <c r="T41">
        <v>0</v>
      </c>
    </row>
    <row r="42" spans="1:39" ht="192" x14ac:dyDescent="0.3">
      <c r="A42" s="9" t="s">
        <v>36</v>
      </c>
      <c r="B42" s="11">
        <v>2016</v>
      </c>
      <c r="C42" s="17">
        <f t="shared" si="0"/>
        <v>5</v>
      </c>
      <c r="D42" s="17" t="str">
        <f t="shared" si="1"/>
        <v>Yes</v>
      </c>
      <c r="E42" s="31" t="s">
        <v>90</v>
      </c>
      <c r="F42" s="30" t="s">
        <v>371</v>
      </c>
      <c r="G42" s="30">
        <v>1</v>
      </c>
      <c r="H42" s="30" t="s">
        <v>91</v>
      </c>
      <c r="I42" s="30">
        <v>1</v>
      </c>
      <c r="J42" s="30" t="s">
        <v>469</v>
      </c>
      <c r="K42" s="30">
        <v>1</v>
      </c>
      <c r="L42" s="31" t="s">
        <v>66</v>
      </c>
      <c r="M42" s="57">
        <v>1</v>
      </c>
      <c r="N42" s="30" t="s">
        <v>92</v>
      </c>
      <c r="O42" s="30">
        <v>1</v>
      </c>
      <c r="P42" s="31"/>
      <c r="T42">
        <v>1</v>
      </c>
    </row>
    <row r="43" spans="1:39" ht="360" x14ac:dyDescent="0.3">
      <c r="A43" s="9" t="s">
        <v>37</v>
      </c>
      <c r="B43" s="11">
        <v>2015</v>
      </c>
      <c r="C43" s="17">
        <f t="shared" si="0"/>
        <v>4</v>
      </c>
      <c r="D43" s="17" t="str">
        <f t="shared" si="1"/>
        <v>Yes</v>
      </c>
      <c r="E43" s="31" t="s">
        <v>90</v>
      </c>
      <c r="F43" s="30" t="s">
        <v>372</v>
      </c>
      <c r="G43" s="30">
        <v>0</v>
      </c>
      <c r="H43" s="30" t="s">
        <v>93</v>
      </c>
      <c r="I43" s="30">
        <v>1</v>
      </c>
      <c r="J43" s="30" t="s">
        <v>300</v>
      </c>
      <c r="K43" s="30">
        <v>1</v>
      </c>
      <c r="L43" s="31" t="s">
        <v>66</v>
      </c>
      <c r="M43" s="57">
        <v>1</v>
      </c>
      <c r="N43" s="30" t="s">
        <v>94</v>
      </c>
      <c r="O43" s="30">
        <v>1</v>
      </c>
      <c r="P43" s="31"/>
      <c r="T43">
        <v>0</v>
      </c>
    </row>
    <row r="44" spans="1:39" ht="278.39999999999998" customHeight="1" x14ac:dyDescent="0.3">
      <c r="A44" s="9" t="s">
        <v>154</v>
      </c>
      <c r="B44" s="11">
        <v>2016</v>
      </c>
      <c r="C44" s="17">
        <f>G44+I44+K44+M44+O44</f>
        <v>5</v>
      </c>
      <c r="D44" s="17" t="str">
        <f t="shared" si="1"/>
        <v>Yes</v>
      </c>
      <c r="E44" s="31" t="s">
        <v>155</v>
      </c>
      <c r="F44" s="30" t="s">
        <v>373</v>
      </c>
      <c r="G44" s="30">
        <v>1</v>
      </c>
      <c r="H44" s="30" t="s">
        <v>158</v>
      </c>
      <c r="I44" s="30">
        <v>1</v>
      </c>
      <c r="J44" s="30" t="s">
        <v>205</v>
      </c>
      <c r="K44" s="30">
        <v>1</v>
      </c>
      <c r="L44" s="31" t="s">
        <v>159</v>
      </c>
      <c r="M44" s="57">
        <v>1</v>
      </c>
      <c r="N44" s="30" t="s">
        <v>290</v>
      </c>
      <c r="O44" s="30">
        <v>1</v>
      </c>
      <c r="P44" s="31" t="s">
        <v>156</v>
      </c>
      <c r="R44" s="30" t="s">
        <v>157</v>
      </c>
      <c r="T44">
        <v>1</v>
      </c>
      <c r="AD44" s="41"/>
    </row>
    <row r="45" spans="1:39" ht="252.6" thickBot="1" x14ac:dyDescent="0.35">
      <c r="A45" s="54" t="s">
        <v>161</v>
      </c>
      <c r="B45" s="55">
        <v>2010</v>
      </c>
      <c r="C45" s="56">
        <f>G45+I45+K45+M45+O45</f>
        <v>4</v>
      </c>
      <c r="D45" s="56" t="str">
        <f t="shared" si="1"/>
        <v>Yes</v>
      </c>
      <c r="E45" s="35" t="s">
        <v>96</v>
      </c>
      <c r="F45" s="20" t="s">
        <v>374</v>
      </c>
      <c r="G45" s="20">
        <v>0</v>
      </c>
      <c r="H45" s="20" t="s">
        <v>97</v>
      </c>
      <c r="I45" s="20">
        <v>1</v>
      </c>
      <c r="J45" s="20" t="s">
        <v>195</v>
      </c>
      <c r="K45" s="20">
        <v>1</v>
      </c>
      <c r="L45" s="35" t="s">
        <v>66</v>
      </c>
      <c r="M45" s="65">
        <v>1</v>
      </c>
      <c r="N45" s="20" t="s">
        <v>291</v>
      </c>
      <c r="O45" s="20">
        <v>1</v>
      </c>
      <c r="P45" s="35"/>
      <c r="Q45" s="29"/>
      <c r="R45" s="20"/>
      <c r="S45" s="35"/>
      <c r="T45">
        <v>0</v>
      </c>
      <c r="U45" t="s">
        <v>297</v>
      </c>
    </row>
    <row r="46" spans="1:39" ht="15" thickBot="1" x14ac:dyDescent="0.35">
      <c r="T46">
        <f>SUM(T3:T36)</f>
        <v>13</v>
      </c>
      <c r="U46">
        <f>COUNTIF(U3:U36, "*&lt;*")</f>
        <v>2</v>
      </c>
    </row>
    <row r="47" spans="1:39" ht="15" thickBot="1" x14ac:dyDescent="0.35">
      <c r="A47" s="22" t="s">
        <v>264</v>
      </c>
      <c r="B47" s="23"/>
      <c r="C47" s="24">
        <f>COUNTIF(D3:D45,"Yes")</f>
        <v>43</v>
      </c>
      <c r="D47" s="23"/>
    </row>
    <row r="49" spans="1:34" s="12" customFormat="1" x14ac:dyDescent="0.3">
      <c r="A49" s="22"/>
      <c r="B49" s="23"/>
      <c r="C49" s="23"/>
      <c r="E49" s="41"/>
      <c r="F49"/>
      <c r="G49"/>
      <c r="H49"/>
      <c r="I49"/>
      <c r="J49"/>
      <c r="K49"/>
      <c r="L49"/>
      <c r="M49"/>
      <c r="N49"/>
      <c r="O49"/>
      <c r="P49"/>
      <c r="Q49" s="8"/>
      <c r="R49" s="30"/>
      <c r="S49" s="31"/>
      <c r="T49"/>
      <c r="U49"/>
      <c r="V49"/>
      <c r="W49"/>
      <c r="X49"/>
      <c r="Y49"/>
      <c r="Z49"/>
      <c r="AA49"/>
      <c r="AB49"/>
      <c r="AC49"/>
      <c r="AD49"/>
      <c r="AE49"/>
      <c r="AF49"/>
      <c r="AG49"/>
      <c r="AH49"/>
    </row>
    <row r="50" spans="1:34" s="12" customFormat="1" x14ac:dyDescent="0.3">
      <c r="A50" s="22">
        <v>4</v>
      </c>
      <c r="B50" s="23"/>
      <c r="C50" s="23">
        <f>COUNTIF($C$3:$C$45,A50)</f>
        <v>11</v>
      </c>
      <c r="E50" s="41"/>
      <c r="F50"/>
      <c r="G50"/>
      <c r="H50"/>
      <c r="I50"/>
      <c r="J50"/>
      <c r="K50"/>
      <c r="L50"/>
      <c r="M50"/>
      <c r="N50"/>
      <c r="O50"/>
      <c r="P50"/>
      <c r="Q50" s="8"/>
      <c r="R50" s="30"/>
      <c r="S50" s="31"/>
      <c r="T50"/>
      <c r="U50"/>
      <c r="V50"/>
      <c r="W50"/>
      <c r="X50"/>
      <c r="Y50"/>
      <c r="Z50"/>
      <c r="AA50"/>
      <c r="AB50"/>
      <c r="AC50"/>
      <c r="AD50"/>
      <c r="AE50"/>
      <c r="AF50"/>
      <c r="AG50"/>
      <c r="AH50"/>
    </row>
    <row r="51" spans="1:34" s="12" customFormat="1" x14ac:dyDescent="0.3">
      <c r="A51" s="22">
        <v>5</v>
      </c>
      <c r="B51" s="23"/>
      <c r="C51" s="23">
        <f>COUNTIF($C$3:$C$45,A51)</f>
        <v>32</v>
      </c>
      <c r="E51" s="41"/>
      <c r="F51"/>
      <c r="G51"/>
      <c r="H51"/>
      <c r="I51"/>
      <c r="J51"/>
      <c r="K51"/>
      <c r="L51"/>
      <c r="M51"/>
      <c r="N51"/>
      <c r="O51"/>
      <c r="P51"/>
      <c r="Q51" s="8"/>
      <c r="R51" s="30"/>
      <c r="S51" s="31"/>
      <c r="T51"/>
      <c r="U51"/>
      <c r="V51"/>
      <c r="W51"/>
      <c r="X51"/>
      <c r="Y51"/>
      <c r="Z51"/>
      <c r="AA51"/>
      <c r="AB51"/>
      <c r="AC51"/>
      <c r="AD51"/>
      <c r="AE51"/>
      <c r="AF51"/>
      <c r="AG51"/>
      <c r="AH51"/>
    </row>
    <row r="52" spans="1:34" s="12" customFormat="1" x14ac:dyDescent="0.3">
      <c r="A52" s="22">
        <v>6</v>
      </c>
      <c r="B52" s="23"/>
      <c r="C52" s="23">
        <f>COUNTIF($C$3:$C$45,A52)</f>
        <v>0</v>
      </c>
      <c r="E52" s="41"/>
      <c r="F52"/>
      <c r="G52"/>
      <c r="H52"/>
      <c r="I52"/>
      <c r="J52"/>
      <c r="K52"/>
      <c r="L52"/>
      <c r="M52"/>
      <c r="N52"/>
      <c r="O52"/>
      <c r="P52"/>
      <c r="Q52" s="8"/>
      <c r="R52" s="30"/>
      <c r="S52" s="31"/>
      <c r="T52"/>
      <c r="U52"/>
      <c r="V52"/>
      <c r="W52"/>
      <c r="X52"/>
      <c r="Y52"/>
      <c r="Z52"/>
      <c r="AA52"/>
      <c r="AB52"/>
      <c r="AC52"/>
      <c r="AD52"/>
      <c r="AE52"/>
      <c r="AF52"/>
      <c r="AG52"/>
      <c r="AH52"/>
    </row>
    <row r="53" spans="1:34" s="12" customFormat="1" x14ac:dyDescent="0.3">
      <c r="A53" s="22" t="s">
        <v>265</v>
      </c>
      <c r="B53" s="23"/>
      <c r="C53" s="23">
        <f>SUM(C49:C52)</f>
        <v>43</v>
      </c>
      <c r="E53" s="41"/>
      <c r="F53"/>
      <c r="G53"/>
      <c r="H53"/>
      <c r="I53"/>
      <c r="J53"/>
      <c r="K53"/>
      <c r="L53"/>
      <c r="M53"/>
      <c r="N53"/>
      <c r="O53"/>
      <c r="P53"/>
      <c r="Q53" s="8"/>
      <c r="R53" s="30"/>
      <c r="S53" s="31"/>
      <c r="T53"/>
      <c r="U53"/>
      <c r="V53"/>
      <c r="W53"/>
      <c r="X53"/>
      <c r="Y53"/>
      <c r="Z53"/>
      <c r="AA53"/>
      <c r="AB53"/>
      <c r="AC53"/>
      <c r="AD53"/>
      <c r="AE53"/>
      <c r="AF53"/>
      <c r="AG53"/>
      <c r="AH53"/>
    </row>
  </sheetData>
  <sortState xmlns:xlrd2="http://schemas.microsoft.com/office/spreadsheetml/2017/richdata2" ref="A3:AO46">
    <sortCondition ref="A3:A46"/>
  </sortState>
  <conditionalFormatting sqref="C3:C45">
    <cfRule type="cellIs" dxfId="3" priority="7" operator="lessThan">
      <formula>4</formula>
    </cfRule>
    <cfRule type="cellIs" dxfId="2" priority="8" operator="greaterThanOrEqual">
      <formula>4</formula>
    </cfRule>
  </conditionalFormatting>
  <conditionalFormatting sqref="D3:D45">
    <cfRule type="containsText" dxfId="1" priority="5" operator="containsText" text="Yes">
      <formula>NOT(ISERROR(SEARCH("Yes",D3)))</formula>
    </cfRule>
    <cfRule type="containsText" dxfId="0" priority="6" operator="containsText" text="No">
      <formula>NOT(ISERROR(SEARCH("No",D3)))</formula>
    </cfRule>
  </conditionalFormatting>
  <pageMargins left="0.70866141732283472" right="0.70866141732283472" top="0.74803149606299213" bottom="0.74803149606299213" header="0.31496062992125984" footer="0.31496062992125984"/>
  <pageSetup paperSize="8" scale="4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Overview</vt:lpstr>
      <vt:lpstr>Categorized pool</vt:lpstr>
      <vt:lpstr>Raw data pool</vt:lpstr>
    </vt:vector>
  </TitlesOfParts>
  <Company>University of Twente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UT Werkplek X64</dc:creator>
  <cp:lastModifiedBy>UT Werkplek X64</cp:lastModifiedBy>
  <cp:lastPrinted>2018-03-22T14:40:55Z</cp:lastPrinted>
  <dcterms:created xsi:type="dcterms:W3CDTF">2018-01-12T14:00:12Z</dcterms:created>
  <dcterms:modified xsi:type="dcterms:W3CDTF">2020-05-25T12:34:52Z</dcterms:modified>
</cp:coreProperties>
</file>